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12.1.2" sheetId="1" r:id="rId1"/>
  </sheets>
  <calcPr calcId="125725"/>
</workbook>
</file>

<file path=xl/calcChain.xml><?xml version="1.0" encoding="utf-8"?>
<calcChain xmlns="http://schemas.openxmlformats.org/spreadsheetml/2006/main">
  <c r="X8" i="1"/>
  <c r="X10"/>
  <c r="X9"/>
  <c r="S20"/>
  <c r="N15"/>
  <c r="N17"/>
  <c r="S8"/>
  <c r="S10"/>
  <c r="S9"/>
  <c r="N10"/>
  <c r="N9"/>
  <c r="I10"/>
  <c r="I9"/>
  <c r="F10"/>
  <c r="X20"/>
  <c r="X17"/>
  <c r="X5"/>
  <c r="S17"/>
  <c r="N20"/>
  <c r="S5"/>
  <c r="N5"/>
  <c r="I15"/>
  <c r="I17"/>
  <c r="I8"/>
  <c r="I5"/>
  <c r="F15"/>
  <c r="Z20"/>
  <c r="Z17"/>
  <c r="Z15"/>
  <c r="Z10"/>
  <c r="Z9"/>
  <c r="Z8" s="1"/>
  <c r="Z5"/>
  <c r="U20"/>
  <c r="U17"/>
  <c r="U15"/>
  <c r="U10"/>
  <c r="U9"/>
  <c r="U5"/>
  <c r="P20"/>
  <c r="P17"/>
  <c r="P15"/>
  <c r="P10"/>
  <c r="P9"/>
  <c r="P8" s="1"/>
  <c r="P5"/>
  <c r="K20"/>
  <c r="K17"/>
  <c r="K15"/>
  <c r="K10"/>
  <c r="K9"/>
  <c r="K5"/>
  <c r="F20"/>
  <c r="F17"/>
  <c r="F9"/>
  <c r="F5"/>
  <c r="K8" l="1"/>
  <c r="F8"/>
  <c r="U8"/>
  <c r="W20"/>
  <c r="W17"/>
  <c r="W16"/>
  <c r="W12"/>
  <c r="W10"/>
  <c r="W9"/>
  <c r="W5"/>
  <c r="R20"/>
  <c r="R17"/>
  <c r="R16"/>
  <c r="R12"/>
  <c r="R10"/>
  <c r="R8" s="1"/>
  <c r="R9"/>
  <c r="R5"/>
  <c r="M20"/>
  <c r="M17"/>
  <c r="M16"/>
  <c r="M12"/>
  <c r="M10"/>
  <c r="M9"/>
  <c r="M5"/>
  <c r="H20"/>
  <c r="H17"/>
  <c r="H15" s="1"/>
  <c r="H12"/>
  <c r="H10"/>
  <c r="H9"/>
  <c r="H5"/>
  <c r="C20"/>
  <c r="C17"/>
  <c r="C15" s="1"/>
  <c r="C12"/>
  <c r="C10"/>
  <c r="C9"/>
  <c r="C5"/>
  <c r="V20"/>
  <c r="V17"/>
  <c r="V16"/>
  <c r="V12"/>
  <c r="V10"/>
  <c r="V9"/>
  <c r="V5"/>
  <c r="Q20"/>
  <c r="Q17"/>
  <c r="Q16"/>
  <c r="Q12"/>
  <c r="Q10"/>
  <c r="Q9"/>
  <c r="Q5"/>
  <c r="L20"/>
  <c r="L17"/>
  <c r="L16"/>
  <c r="L12"/>
  <c r="L10"/>
  <c r="L9"/>
  <c r="L5"/>
  <c r="G20"/>
  <c r="G17"/>
  <c r="G16"/>
  <c r="G12"/>
  <c r="G10"/>
  <c r="G9"/>
  <c r="G5"/>
  <c r="H8" l="1"/>
  <c r="W15"/>
  <c r="L8"/>
  <c r="M15"/>
  <c r="R15"/>
  <c r="Q15"/>
  <c r="C8"/>
  <c r="M8"/>
  <c r="W8"/>
  <c r="V8"/>
  <c r="L15"/>
  <c r="Q8"/>
  <c r="G8"/>
  <c r="G15"/>
  <c r="V15"/>
</calcChain>
</file>

<file path=xl/sharedStrings.xml><?xml version="1.0" encoding="utf-8"?>
<sst xmlns="http://schemas.openxmlformats.org/spreadsheetml/2006/main" count="158" uniqueCount="20">
  <si>
    <t xml:space="preserve">Cash Counter </t>
  </si>
  <si>
    <t xml:space="preserve">ATM  Transaction </t>
  </si>
  <si>
    <t>Mobile App Transaction</t>
  </si>
  <si>
    <t>Transaction Type</t>
  </si>
  <si>
    <t>Deposits</t>
  </si>
  <si>
    <t>Withdrawal</t>
  </si>
  <si>
    <t>…</t>
  </si>
  <si>
    <t>Number of Transaction</t>
  </si>
  <si>
    <t>Amount Transacted (Nu. in Million)</t>
  </si>
  <si>
    <t>Druk PNBL</t>
  </si>
  <si>
    <t>BoBL</t>
  </si>
  <si>
    <t>BNBL</t>
  </si>
  <si>
    <t>BDBL</t>
  </si>
  <si>
    <t xml:space="preserve">T-BANK </t>
  </si>
  <si>
    <t xml:space="preserve">Deposits </t>
  </si>
  <si>
    <t>Amount Transacted (Nu. in million)</t>
  </si>
  <si>
    <t xml:space="preserve">Withdrawal </t>
  </si>
  <si>
    <t xml:space="preserve">Source : Bank of Bhutan, Bhutan National Bank, Bhutan Development Bank, Druk PNB, T Bank, Thimphu. </t>
  </si>
  <si>
    <t>Note: The data for the Druk  PNB is not available from the source itself.</t>
  </si>
  <si>
    <t>Table No. 12.1.2: Banking Transaction Trend for all Financial Institutions by Type, 2016 - 2020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</si>
</sst>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0.000"/>
    <numFmt numFmtId="165" formatCode="#,##0.000"/>
    <numFmt numFmtId="166" formatCode="0.0_)"/>
    <numFmt numFmtId="168" formatCode="_-* #,##0_-;\-* #,##0_-;_-* &quot;-&quot;??_-;_-@_-"/>
    <numFmt numFmtId="171" formatCode="_-* #,##0.000_-;\-* #,##0.000_-;_-* &quot;-&quot;??_-;_-@_-"/>
  </numFmts>
  <fonts count="8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color theme="1"/>
      <name val="Sylfaen"/>
      <family val="1"/>
    </font>
    <font>
      <sz val="11"/>
      <color theme="1"/>
      <name val="Calibri"/>
      <family val="2"/>
      <scheme val="minor"/>
    </font>
    <font>
      <i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249977111117893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34998626667073579"/>
      </right>
      <top/>
      <bottom/>
      <diagonal/>
    </border>
    <border>
      <left style="thin">
        <color theme="0" tint="-0.249977111117893"/>
      </left>
      <right style="thin">
        <color theme="0" tint="-0.34998626667073579"/>
      </right>
      <top/>
      <bottom style="thin">
        <color theme="0" tint="-0.249977111117893"/>
      </bottom>
      <diagonal/>
    </border>
    <border>
      <left/>
      <right style="thin">
        <color theme="0" tint="-0.34998626667073579"/>
      </right>
      <top style="thin">
        <color theme="0" tint="-0.249977111117893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34998626667073579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77111117893"/>
      </top>
      <bottom style="thin">
        <color theme="0" tint="-0.34998626667073579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0" xfId="0" applyFont="1" applyBorder="1"/>
    <xf numFmtId="0" fontId="0" fillId="0" borderId="1" xfId="0" applyBorder="1"/>
    <xf numFmtId="0" fontId="3" fillId="0" borderId="0" xfId="0" applyFont="1" applyBorder="1" applyAlignment="1"/>
    <xf numFmtId="0" fontId="5" fillId="0" borderId="0" xfId="0" applyFont="1" applyBorder="1" applyAlignment="1">
      <alignment vertical="center"/>
    </xf>
    <xf numFmtId="0" fontId="3" fillId="0" borderId="0" xfId="0" applyFont="1" applyBorder="1"/>
    <xf numFmtId="0" fontId="3" fillId="2" borderId="10" xfId="0" applyFont="1" applyFill="1" applyBorder="1" applyAlignment="1">
      <alignment horizontal="right" vertical="center"/>
    </xf>
    <xf numFmtId="0" fontId="5" fillId="0" borderId="7" xfId="0" applyFont="1" applyBorder="1" applyAlignment="1">
      <alignment vertical="center"/>
    </xf>
    <xf numFmtId="0" fontId="3" fillId="2" borderId="17" xfId="0" applyFont="1" applyFill="1" applyBorder="1" applyAlignment="1">
      <alignment horizontal="right" vertical="center"/>
    </xf>
    <xf numFmtId="165" fontId="4" fillId="0" borderId="7" xfId="1" applyNumberFormat="1" applyFont="1" applyBorder="1"/>
    <xf numFmtId="166" fontId="7" fillId="0" borderId="0" xfId="0" applyNumberFormat="1" applyFont="1" applyBorder="1" applyAlignment="1">
      <alignment vertical="center"/>
    </xf>
    <xf numFmtId="0" fontId="3" fillId="2" borderId="10" xfId="0" applyFont="1" applyFill="1" applyBorder="1" applyAlignment="1">
      <alignment horizontal="right" vertical="center" wrapText="1"/>
    </xf>
    <xf numFmtId="165" fontId="4" fillId="0" borderId="0" xfId="0" applyNumberFormat="1" applyFont="1" applyBorder="1" applyAlignment="1">
      <alignment horizontal="right"/>
    </xf>
    <xf numFmtId="165" fontId="4" fillId="0" borderId="0" xfId="1" applyNumberFormat="1" applyFont="1" applyBorder="1"/>
    <xf numFmtId="3" fontId="3" fillId="0" borderId="0" xfId="0" applyNumberFormat="1" applyFont="1" applyBorder="1" applyAlignment="1">
      <alignment horizontal="right"/>
    </xf>
    <xf numFmtId="165" fontId="4" fillId="0" borderId="0" xfId="1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 indent="1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right" vertical="center"/>
    </xf>
    <xf numFmtId="43" fontId="3" fillId="0" borderId="7" xfId="1" applyFont="1" applyBorder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vertical="center"/>
    </xf>
    <xf numFmtId="43" fontId="4" fillId="0" borderId="11" xfId="1" applyFont="1" applyBorder="1" applyAlignment="1">
      <alignment horizontal="right" vertical="center"/>
    </xf>
    <xf numFmtId="43" fontId="4" fillId="0" borderId="11" xfId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3" fontId="4" fillId="0" borderId="16" xfId="1" applyFont="1" applyBorder="1" applyAlignment="1">
      <alignment horizontal="right" vertical="center"/>
    </xf>
    <xf numFmtId="43" fontId="4" fillId="0" borderId="7" xfId="1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43" fontId="3" fillId="0" borderId="11" xfId="1" applyFont="1" applyBorder="1" applyAlignment="1">
      <alignment horizontal="right" vertical="center"/>
    </xf>
    <xf numFmtId="43" fontId="3" fillId="0" borderId="16" xfId="1" applyFont="1" applyBorder="1" applyAlignment="1">
      <alignment horizontal="right" vertical="center"/>
    </xf>
    <xf numFmtId="1" fontId="3" fillId="0" borderId="8" xfId="0" applyNumberFormat="1" applyFont="1" applyBorder="1" applyAlignment="1">
      <alignment horizontal="right" vertical="center"/>
    </xf>
    <xf numFmtId="3" fontId="3" fillId="0" borderId="8" xfId="1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1" fontId="4" fillId="0" borderId="8" xfId="0" applyNumberFormat="1" applyFont="1" applyBorder="1" applyAlignment="1">
      <alignment horizontal="right" vertical="center"/>
    </xf>
    <xf numFmtId="3" fontId="4" fillId="0" borderId="8" xfId="1" applyNumberFormat="1" applyFont="1" applyBorder="1" applyAlignment="1">
      <alignment horizontal="right" vertical="center"/>
    </xf>
    <xf numFmtId="3" fontId="4" fillId="0" borderId="12" xfId="1" applyNumberFormat="1" applyFont="1" applyBorder="1" applyAlignment="1">
      <alignment horizontal="right" vertical="center"/>
    </xf>
    <xf numFmtId="3" fontId="4" fillId="0" borderId="15" xfId="1" applyNumberFormat="1" applyFont="1" applyBorder="1" applyAlignment="1">
      <alignment horizontal="right" vertical="center"/>
    </xf>
    <xf numFmtId="3" fontId="4" fillId="0" borderId="8" xfId="0" applyNumberFormat="1" applyFont="1" applyBorder="1" applyAlignment="1">
      <alignment horizontal="right" vertical="center"/>
    </xf>
    <xf numFmtId="164" fontId="3" fillId="0" borderId="8" xfId="0" applyNumberFormat="1" applyFont="1" applyBorder="1" applyAlignment="1">
      <alignment horizontal="right" vertical="center"/>
    </xf>
    <xf numFmtId="165" fontId="3" fillId="0" borderId="8" xfId="1" applyNumberFormat="1" applyFont="1" applyBorder="1" applyAlignment="1">
      <alignment horizontal="right" vertical="center"/>
    </xf>
    <xf numFmtId="165" fontId="3" fillId="0" borderId="12" xfId="1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5" fontId="4" fillId="0" borderId="9" xfId="1" applyNumberFormat="1" applyFont="1" applyBorder="1" applyAlignment="1">
      <alignment horizontal="right" vertical="center"/>
    </xf>
    <xf numFmtId="165" fontId="4" fillId="0" borderId="12" xfId="1" applyNumberFormat="1" applyFont="1" applyBorder="1" applyAlignment="1">
      <alignment horizontal="right" vertical="center"/>
    </xf>
    <xf numFmtId="165" fontId="4" fillId="0" borderId="13" xfId="1" applyNumberFormat="1" applyFont="1" applyBorder="1" applyAlignment="1">
      <alignment horizontal="right" vertical="center"/>
    </xf>
    <xf numFmtId="165" fontId="4" fillId="0" borderId="1" xfId="1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8" xfId="1" applyNumberFormat="1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3" fillId="0" borderId="9" xfId="0" applyFont="1" applyBorder="1" applyAlignment="1">
      <alignment horizontal="right" vertical="center"/>
    </xf>
    <xf numFmtId="43" fontId="4" fillId="0" borderId="9" xfId="1" applyFont="1" applyBorder="1" applyAlignment="1">
      <alignment vertical="center"/>
    </xf>
    <xf numFmtId="43" fontId="4" fillId="0" borderId="13" xfId="1" applyFont="1" applyBorder="1" applyAlignment="1">
      <alignment horizontal="right" vertical="center"/>
    </xf>
    <xf numFmtId="43" fontId="4" fillId="0" borderId="13" xfId="1" applyFont="1" applyBorder="1" applyAlignment="1">
      <alignment vertical="center"/>
    </xf>
    <xf numFmtId="43" fontId="4" fillId="0" borderId="9" xfId="1" applyFont="1" applyBorder="1" applyAlignment="1">
      <alignment horizontal="right" vertical="center"/>
    </xf>
    <xf numFmtId="43" fontId="4" fillId="0" borderId="12" xfId="1" applyFont="1" applyBorder="1" applyAlignment="1">
      <alignment horizontal="right" vertical="center"/>
    </xf>
    <xf numFmtId="3" fontId="4" fillId="0" borderId="9" xfId="0" applyNumberFormat="1" applyFont="1" applyBorder="1" applyAlignment="1">
      <alignment horizontal="right" vertical="center"/>
    </xf>
    <xf numFmtId="3" fontId="3" fillId="0" borderId="9" xfId="1" applyNumberFormat="1" applyFont="1" applyBorder="1" applyAlignment="1">
      <alignment horizontal="right" vertical="center"/>
    </xf>
    <xf numFmtId="3" fontId="4" fillId="0" borderId="7" xfId="1" applyNumberFormat="1" applyFont="1" applyBorder="1" applyAlignment="1">
      <alignment horizontal="right" vertical="center"/>
    </xf>
    <xf numFmtId="3" fontId="4" fillId="0" borderId="11" xfId="1" applyNumberFormat="1" applyFont="1" applyBorder="1" applyAlignment="1">
      <alignment horizontal="right" vertical="center"/>
    </xf>
    <xf numFmtId="3" fontId="4" fillId="0" borderId="13" xfId="1" applyNumberFormat="1" applyFont="1" applyBorder="1" applyAlignment="1">
      <alignment horizontal="right" vertical="center"/>
    </xf>
    <xf numFmtId="3" fontId="4" fillId="0" borderId="7" xfId="0" applyNumberFormat="1" applyFont="1" applyBorder="1" applyAlignment="1">
      <alignment horizontal="right" vertical="center"/>
    </xf>
    <xf numFmtId="165" fontId="3" fillId="0" borderId="7" xfId="0" applyNumberFormat="1" applyFont="1" applyBorder="1" applyAlignment="1">
      <alignment horizontal="right" vertical="center"/>
    </xf>
    <xf numFmtId="165" fontId="3" fillId="0" borderId="7" xfId="1" applyNumberFormat="1" applyFont="1" applyBorder="1" applyAlignment="1">
      <alignment vertical="center"/>
    </xf>
    <xf numFmtId="165" fontId="3" fillId="0" borderId="11" xfId="1" applyNumberFormat="1" applyFont="1" applyBorder="1" applyAlignment="1">
      <alignment horizontal="right" vertical="center"/>
    </xf>
    <xf numFmtId="165" fontId="3" fillId="0" borderId="11" xfId="1" applyNumberFormat="1" applyFont="1" applyBorder="1" applyAlignment="1">
      <alignment vertical="center"/>
    </xf>
    <xf numFmtId="165" fontId="3" fillId="0" borderId="0" xfId="1" applyNumberFormat="1" applyFont="1" applyBorder="1" applyAlignment="1">
      <alignment horizontal="right" vertical="center"/>
    </xf>
    <xf numFmtId="165" fontId="4" fillId="0" borderId="7" xfId="1" applyNumberFormat="1" applyFont="1" applyBorder="1" applyAlignment="1">
      <alignment vertical="center"/>
    </xf>
    <xf numFmtId="165" fontId="4" fillId="0" borderId="7" xfId="0" applyNumberFormat="1" applyFont="1" applyBorder="1" applyAlignment="1">
      <alignment horizontal="right" vertical="center"/>
    </xf>
    <xf numFmtId="165" fontId="4" fillId="0" borderId="7" xfId="1" applyNumberFormat="1" applyFont="1" applyBorder="1" applyAlignment="1">
      <alignment horizontal="right" vertical="center"/>
    </xf>
    <xf numFmtId="165" fontId="4" fillId="0" borderId="11" xfId="1" applyNumberFormat="1" applyFont="1" applyBorder="1" applyAlignment="1">
      <alignment horizontal="right" vertical="center"/>
    </xf>
    <xf numFmtId="165" fontId="4" fillId="0" borderId="11" xfId="1" applyNumberFormat="1" applyFont="1" applyBorder="1" applyAlignment="1">
      <alignment vertical="center"/>
    </xf>
    <xf numFmtId="165" fontId="4" fillId="0" borderId="13" xfId="1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3" fontId="4" fillId="0" borderId="8" xfId="1" applyNumberFormat="1" applyFont="1" applyBorder="1" applyAlignment="1">
      <alignment vertical="center"/>
    </xf>
    <xf numFmtId="3" fontId="4" fillId="0" borderId="12" xfId="1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5" fontId="4" fillId="0" borderId="8" xfId="0" applyNumberFormat="1" applyFont="1" applyBorder="1" applyAlignment="1">
      <alignment horizontal="right" vertical="center"/>
    </xf>
    <xf numFmtId="165" fontId="3" fillId="0" borderId="9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7" xfId="1" applyNumberFormat="1" applyFont="1" applyBorder="1" applyAlignment="1">
      <alignment horizontal="right" vertical="center"/>
    </xf>
    <xf numFmtId="3" fontId="3" fillId="0" borderId="11" xfId="1" applyNumberFormat="1" applyFont="1" applyBorder="1" applyAlignment="1">
      <alignment horizontal="right" vertical="center"/>
    </xf>
    <xf numFmtId="3" fontId="3" fillId="0" borderId="13" xfId="1" applyNumberFormat="1" applyFont="1" applyBorder="1" applyAlignment="1">
      <alignment horizontal="right" vertical="center"/>
    </xf>
    <xf numFmtId="165" fontId="3" fillId="0" borderId="13" xfId="1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 indent="1"/>
    </xf>
    <xf numFmtId="0" fontId="4" fillId="0" borderId="2" xfId="0" applyFont="1" applyBorder="1" applyAlignment="1">
      <alignment horizontal="left" vertical="center" indent="2"/>
    </xf>
    <xf numFmtId="0" fontId="3" fillId="0" borderId="2" xfId="0" applyFont="1" applyBorder="1" applyAlignment="1">
      <alignment horizontal="left" vertical="center" wrapText="1" indent="1"/>
    </xf>
    <xf numFmtId="3" fontId="3" fillId="0" borderId="9" xfId="1" applyNumberFormat="1" applyFont="1" applyBorder="1" applyAlignment="1">
      <alignment vertical="center"/>
    </xf>
    <xf numFmtId="3" fontId="3" fillId="0" borderId="13" xfId="1" applyNumberFormat="1" applyFont="1" applyBorder="1" applyAlignment="1">
      <alignment vertical="center"/>
    </xf>
    <xf numFmtId="165" fontId="3" fillId="0" borderId="6" xfId="0" applyNumberFormat="1" applyFont="1" applyBorder="1" applyAlignment="1">
      <alignment horizontal="right" vertical="center"/>
    </xf>
    <xf numFmtId="165" fontId="3" fillId="0" borderId="6" xfId="1" applyNumberFormat="1" applyFont="1" applyBorder="1" applyAlignment="1">
      <alignment vertical="center"/>
    </xf>
    <xf numFmtId="165" fontId="3" fillId="0" borderId="14" xfId="1" applyNumberFormat="1" applyFont="1" applyBorder="1" applyAlignment="1">
      <alignment horizontal="right" vertical="center"/>
    </xf>
    <xf numFmtId="165" fontId="3" fillId="0" borderId="14" xfId="1" applyNumberFormat="1" applyFont="1" applyBorder="1" applyAlignment="1">
      <alignment vertical="center"/>
    </xf>
    <xf numFmtId="165" fontId="3" fillId="0" borderId="6" xfId="1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left" wrapText="1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168" fontId="4" fillId="0" borderId="0" xfId="1" applyNumberFormat="1" applyFont="1" applyAlignment="1">
      <alignment horizontal="right"/>
    </xf>
    <xf numFmtId="168" fontId="4" fillId="0" borderId="9" xfId="1" applyNumberFormat="1" applyFont="1" applyBorder="1" applyAlignment="1">
      <alignment horizontal="right"/>
    </xf>
    <xf numFmtId="171" fontId="3" fillId="0" borderId="7" xfId="1" applyNumberFormat="1" applyFont="1" applyBorder="1" applyAlignment="1">
      <alignment horizontal="right" vertical="center"/>
    </xf>
    <xf numFmtId="171" fontId="4" fillId="0" borderId="7" xfId="1" applyNumberFormat="1" applyFont="1" applyBorder="1" applyAlignment="1">
      <alignment horizontal="right" vertical="center"/>
    </xf>
    <xf numFmtId="168" fontId="3" fillId="0" borderId="9" xfId="1" applyNumberFormat="1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9"/>
  <sheetViews>
    <sheetView tabSelected="1" topLeftCell="L9" zoomScaleNormal="100" workbookViewId="0">
      <selection activeCell="Z21" sqref="Z21"/>
    </sheetView>
  </sheetViews>
  <sheetFormatPr defaultRowHeight="15"/>
  <cols>
    <col min="1" max="1" width="23" customWidth="1"/>
    <col min="2" max="2" width="5.7109375" customWidth="1"/>
    <col min="3" max="3" width="11.28515625" customWidth="1"/>
    <col min="4" max="4" width="6.28515625" customWidth="1"/>
    <col min="5" max="5" width="7.140625" customWidth="1"/>
    <col min="6" max="6" width="11" customWidth="1"/>
    <col min="7" max="7" width="11.5703125" customWidth="1"/>
    <col min="8" max="8" width="11.7109375" customWidth="1"/>
    <col min="9" max="9" width="12.7109375" customWidth="1"/>
    <col min="10" max="10" width="7.42578125" customWidth="1"/>
    <col min="11" max="12" width="11" customWidth="1"/>
    <col min="13" max="13" width="11.7109375" customWidth="1"/>
    <col min="14" max="14" width="16.85546875" customWidth="1"/>
    <col min="15" max="15" width="6.5703125" customWidth="1"/>
    <col min="16" max="16" width="11.140625" customWidth="1"/>
    <col min="17" max="17" width="12.42578125" customWidth="1"/>
    <col min="18" max="18" width="11.140625" customWidth="1"/>
    <col min="19" max="19" width="13.140625" customWidth="1"/>
    <col min="20" max="20" width="7" customWidth="1"/>
    <col min="21" max="21" width="12.140625" customWidth="1"/>
    <col min="22" max="22" width="12.42578125" bestFit="1" customWidth="1"/>
    <col min="23" max="23" width="11.42578125" customWidth="1"/>
    <col min="24" max="24" width="12.7109375" customWidth="1"/>
    <col min="25" max="25" width="6.85546875" customWidth="1"/>
    <col min="26" max="26" width="11.140625" customWidth="1"/>
    <col min="277" max="277" width="30.85546875" customWidth="1"/>
    <col min="278" max="282" width="17.7109375" customWidth="1"/>
    <col min="533" max="533" width="30.85546875" customWidth="1"/>
    <col min="534" max="538" width="17.7109375" customWidth="1"/>
    <col min="789" max="789" width="30.85546875" customWidth="1"/>
    <col min="790" max="794" width="17.7109375" customWidth="1"/>
    <col min="1045" max="1045" width="30.85546875" customWidth="1"/>
    <col min="1046" max="1050" width="17.7109375" customWidth="1"/>
    <col min="1301" max="1301" width="30.85546875" customWidth="1"/>
    <col min="1302" max="1306" width="17.7109375" customWidth="1"/>
    <col min="1557" max="1557" width="30.85546875" customWidth="1"/>
    <col min="1558" max="1562" width="17.7109375" customWidth="1"/>
    <col min="1813" max="1813" width="30.85546875" customWidth="1"/>
    <col min="1814" max="1818" width="17.7109375" customWidth="1"/>
    <col min="2069" max="2069" width="30.85546875" customWidth="1"/>
    <col min="2070" max="2074" width="17.7109375" customWidth="1"/>
    <col min="2325" max="2325" width="30.85546875" customWidth="1"/>
    <col min="2326" max="2330" width="17.7109375" customWidth="1"/>
    <col min="2581" max="2581" width="30.85546875" customWidth="1"/>
    <col min="2582" max="2586" width="17.7109375" customWidth="1"/>
    <col min="2837" max="2837" width="30.85546875" customWidth="1"/>
    <col min="2838" max="2842" width="17.7109375" customWidth="1"/>
    <col min="3093" max="3093" width="30.85546875" customWidth="1"/>
    <col min="3094" max="3098" width="17.7109375" customWidth="1"/>
    <col min="3349" max="3349" width="30.85546875" customWidth="1"/>
    <col min="3350" max="3354" width="17.7109375" customWidth="1"/>
    <col min="3605" max="3605" width="30.85546875" customWidth="1"/>
    <col min="3606" max="3610" width="17.7109375" customWidth="1"/>
    <col min="3861" max="3861" width="30.85546875" customWidth="1"/>
    <col min="3862" max="3866" width="17.7109375" customWidth="1"/>
    <col min="4117" max="4117" width="30.85546875" customWidth="1"/>
    <col min="4118" max="4122" width="17.7109375" customWidth="1"/>
    <col min="4373" max="4373" width="30.85546875" customWidth="1"/>
    <col min="4374" max="4378" width="17.7109375" customWidth="1"/>
    <col min="4629" max="4629" width="30.85546875" customWidth="1"/>
    <col min="4630" max="4634" width="17.7109375" customWidth="1"/>
    <col min="4885" max="4885" width="30.85546875" customWidth="1"/>
    <col min="4886" max="4890" width="17.7109375" customWidth="1"/>
    <col min="5141" max="5141" width="30.85546875" customWidth="1"/>
    <col min="5142" max="5146" width="17.7109375" customWidth="1"/>
    <col min="5397" max="5397" width="30.85546875" customWidth="1"/>
    <col min="5398" max="5402" width="17.7109375" customWidth="1"/>
    <col min="5653" max="5653" width="30.85546875" customWidth="1"/>
    <col min="5654" max="5658" width="17.7109375" customWidth="1"/>
    <col min="5909" max="5909" width="30.85546875" customWidth="1"/>
    <col min="5910" max="5914" width="17.7109375" customWidth="1"/>
    <col min="6165" max="6165" width="30.85546875" customWidth="1"/>
    <col min="6166" max="6170" width="17.7109375" customWidth="1"/>
    <col min="6421" max="6421" width="30.85546875" customWidth="1"/>
    <col min="6422" max="6426" width="17.7109375" customWidth="1"/>
    <col min="6677" max="6677" width="30.85546875" customWidth="1"/>
    <col min="6678" max="6682" width="17.7109375" customWidth="1"/>
    <col min="6933" max="6933" width="30.85546875" customWidth="1"/>
    <col min="6934" max="6938" width="17.7109375" customWidth="1"/>
    <col min="7189" max="7189" width="30.85546875" customWidth="1"/>
    <col min="7190" max="7194" width="17.7109375" customWidth="1"/>
    <col min="7445" max="7445" width="30.85546875" customWidth="1"/>
    <col min="7446" max="7450" width="17.7109375" customWidth="1"/>
    <col min="7701" max="7701" width="30.85546875" customWidth="1"/>
    <col min="7702" max="7706" width="17.7109375" customWidth="1"/>
    <col min="7957" max="7957" width="30.85546875" customWidth="1"/>
    <col min="7958" max="7962" width="17.7109375" customWidth="1"/>
    <col min="8213" max="8213" width="30.85546875" customWidth="1"/>
    <col min="8214" max="8218" width="17.7109375" customWidth="1"/>
    <col min="8469" max="8469" width="30.85546875" customWidth="1"/>
    <col min="8470" max="8474" width="17.7109375" customWidth="1"/>
    <col min="8725" max="8725" width="30.85546875" customWidth="1"/>
    <col min="8726" max="8730" width="17.7109375" customWidth="1"/>
    <col min="8981" max="8981" width="30.85546875" customWidth="1"/>
    <col min="8982" max="8986" width="17.7109375" customWidth="1"/>
    <col min="9237" max="9237" width="30.85546875" customWidth="1"/>
    <col min="9238" max="9242" width="17.7109375" customWidth="1"/>
    <col min="9493" max="9493" width="30.85546875" customWidth="1"/>
    <col min="9494" max="9498" width="17.7109375" customWidth="1"/>
    <col min="9749" max="9749" width="30.85546875" customWidth="1"/>
    <col min="9750" max="9754" width="17.7109375" customWidth="1"/>
    <col min="10005" max="10005" width="30.85546875" customWidth="1"/>
    <col min="10006" max="10010" width="17.7109375" customWidth="1"/>
    <col min="10261" max="10261" width="30.85546875" customWidth="1"/>
    <col min="10262" max="10266" width="17.7109375" customWidth="1"/>
    <col min="10517" max="10517" width="30.85546875" customWidth="1"/>
    <col min="10518" max="10522" width="17.7109375" customWidth="1"/>
    <col min="10773" max="10773" width="30.85546875" customWidth="1"/>
    <col min="10774" max="10778" width="17.7109375" customWidth="1"/>
    <col min="11029" max="11029" width="30.85546875" customWidth="1"/>
    <col min="11030" max="11034" width="17.7109375" customWidth="1"/>
    <col min="11285" max="11285" width="30.85546875" customWidth="1"/>
    <col min="11286" max="11290" width="17.7109375" customWidth="1"/>
    <col min="11541" max="11541" width="30.85546875" customWidth="1"/>
    <col min="11542" max="11546" width="17.7109375" customWidth="1"/>
    <col min="11797" max="11797" width="30.85546875" customWidth="1"/>
    <col min="11798" max="11802" width="17.7109375" customWidth="1"/>
    <col min="12053" max="12053" width="30.85546875" customWidth="1"/>
    <col min="12054" max="12058" width="17.7109375" customWidth="1"/>
    <col min="12309" max="12309" width="30.85546875" customWidth="1"/>
    <col min="12310" max="12314" width="17.7109375" customWidth="1"/>
    <col min="12565" max="12565" width="30.85546875" customWidth="1"/>
    <col min="12566" max="12570" width="17.7109375" customWidth="1"/>
    <col min="12821" max="12821" width="30.85546875" customWidth="1"/>
    <col min="12822" max="12826" width="17.7109375" customWidth="1"/>
    <col min="13077" max="13077" width="30.85546875" customWidth="1"/>
    <col min="13078" max="13082" width="17.7109375" customWidth="1"/>
    <col min="13333" max="13333" width="30.85546875" customWidth="1"/>
    <col min="13334" max="13338" width="17.7109375" customWidth="1"/>
    <col min="13589" max="13589" width="30.85546875" customWidth="1"/>
    <col min="13590" max="13594" width="17.7109375" customWidth="1"/>
    <col min="13845" max="13845" width="30.85546875" customWidth="1"/>
    <col min="13846" max="13850" width="17.7109375" customWidth="1"/>
    <col min="14101" max="14101" width="30.85546875" customWidth="1"/>
    <col min="14102" max="14106" width="17.7109375" customWidth="1"/>
    <col min="14357" max="14357" width="30.85546875" customWidth="1"/>
    <col min="14358" max="14362" width="17.7109375" customWidth="1"/>
    <col min="14613" max="14613" width="30.85546875" customWidth="1"/>
    <col min="14614" max="14618" width="17.7109375" customWidth="1"/>
    <col min="14869" max="14869" width="30.85546875" customWidth="1"/>
    <col min="14870" max="14874" width="17.7109375" customWidth="1"/>
    <col min="15125" max="15125" width="30.85546875" customWidth="1"/>
    <col min="15126" max="15130" width="17.7109375" customWidth="1"/>
    <col min="15381" max="15381" width="30.85546875" customWidth="1"/>
    <col min="15382" max="15386" width="17.7109375" customWidth="1"/>
    <col min="15637" max="15637" width="30.85546875" customWidth="1"/>
    <col min="15638" max="15642" width="17.7109375" customWidth="1"/>
    <col min="15893" max="15893" width="30.85546875" customWidth="1"/>
    <col min="15894" max="15898" width="17.7109375" customWidth="1"/>
    <col min="16149" max="16149" width="30.85546875" customWidth="1"/>
    <col min="16150" max="16154" width="17.7109375" customWidth="1"/>
  </cols>
  <sheetData>
    <row r="1" spans="1:29" ht="25.5" customHeight="1">
      <c r="A1" s="80" t="s">
        <v>19</v>
      </c>
      <c r="B1" s="80"/>
      <c r="C1" s="80"/>
      <c r="D1" s="80"/>
      <c r="E1" s="80"/>
      <c r="F1" s="80"/>
      <c r="G1" s="80"/>
      <c r="H1" s="80"/>
      <c r="I1" s="80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5"/>
      <c r="W1" s="5"/>
      <c r="X1" s="5"/>
      <c r="Y1" s="5"/>
      <c r="Z1" s="5"/>
      <c r="AA1" s="4"/>
    </row>
    <row r="2" spans="1:29" ht="22.5" customHeight="1">
      <c r="A2" s="101" t="s">
        <v>3</v>
      </c>
      <c r="B2" s="100">
        <v>2016</v>
      </c>
      <c r="C2" s="100"/>
      <c r="D2" s="100"/>
      <c r="E2" s="100"/>
      <c r="F2" s="100"/>
      <c r="G2" s="100">
        <v>2017</v>
      </c>
      <c r="H2" s="100"/>
      <c r="I2" s="100"/>
      <c r="J2" s="100"/>
      <c r="K2" s="100"/>
      <c r="L2" s="100">
        <v>2018</v>
      </c>
      <c r="M2" s="100"/>
      <c r="N2" s="100"/>
      <c r="O2" s="100"/>
      <c r="P2" s="100"/>
      <c r="Q2" s="100">
        <v>2019</v>
      </c>
      <c r="R2" s="100"/>
      <c r="S2" s="100"/>
      <c r="T2" s="100"/>
      <c r="U2" s="100"/>
      <c r="V2" s="100">
        <v>2020</v>
      </c>
      <c r="W2" s="100"/>
      <c r="X2" s="100"/>
      <c r="Y2" s="100"/>
      <c r="Z2" s="100"/>
    </row>
    <row r="3" spans="1:29" ht="35.25" customHeight="1">
      <c r="A3" s="101"/>
      <c r="B3" s="8" t="s">
        <v>10</v>
      </c>
      <c r="C3" s="8" t="s">
        <v>11</v>
      </c>
      <c r="D3" s="8" t="s">
        <v>12</v>
      </c>
      <c r="E3" s="13" t="s">
        <v>9</v>
      </c>
      <c r="F3" s="8" t="s">
        <v>13</v>
      </c>
      <c r="G3" s="8" t="s">
        <v>10</v>
      </c>
      <c r="H3" s="8" t="s">
        <v>11</v>
      </c>
      <c r="I3" s="10" t="s">
        <v>12</v>
      </c>
      <c r="J3" s="13" t="s">
        <v>9</v>
      </c>
      <c r="K3" s="8" t="s">
        <v>13</v>
      </c>
      <c r="L3" s="8" t="s">
        <v>10</v>
      </c>
      <c r="M3" s="8" t="s">
        <v>11</v>
      </c>
      <c r="N3" s="8" t="s">
        <v>12</v>
      </c>
      <c r="O3" s="13" t="s">
        <v>9</v>
      </c>
      <c r="P3" s="8" t="s">
        <v>13</v>
      </c>
      <c r="Q3" s="8" t="s">
        <v>10</v>
      </c>
      <c r="R3" s="8" t="s">
        <v>11</v>
      </c>
      <c r="S3" s="8" t="s">
        <v>12</v>
      </c>
      <c r="T3" s="13" t="s">
        <v>9</v>
      </c>
      <c r="U3" s="8" t="s">
        <v>13</v>
      </c>
      <c r="V3" s="8" t="s">
        <v>10</v>
      </c>
      <c r="W3" s="8" t="s">
        <v>11</v>
      </c>
      <c r="X3" s="8" t="s">
        <v>12</v>
      </c>
      <c r="Y3" s="13" t="s">
        <v>9</v>
      </c>
      <c r="Z3" s="10" t="s">
        <v>13</v>
      </c>
    </row>
    <row r="4" spans="1:29" ht="25.5" customHeight="1">
      <c r="A4" s="19" t="s">
        <v>0</v>
      </c>
      <c r="B4" s="20"/>
      <c r="C4" s="21"/>
      <c r="D4" s="22"/>
      <c r="E4" s="22"/>
      <c r="F4" s="23"/>
      <c r="G4" s="24"/>
      <c r="H4" s="25"/>
      <c r="I4" s="22"/>
      <c r="J4" s="22"/>
      <c r="K4" s="26"/>
      <c r="L4" s="27"/>
      <c r="M4" s="28"/>
      <c r="N4" s="22"/>
      <c r="O4" s="22"/>
      <c r="P4" s="29"/>
      <c r="Q4" s="27"/>
      <c r="R4" s="28"/>
      <c r="S4" s="22"/>
      <c r="T4" s="22"/>
      <c r="U4" s="30"/>
      <c r="V4" s="27"/>
      <c r="W4" s="28"/>
      <c r="X4" s="31"/>
      <c r="Y4" s="32"/>
      <c r="Z4" s="30"/>
    </row>
    <row r="5" spans="1:29" ht="25.5" customHeight="1">
      <c r="A5" s="88" t="s">
        <v>7</v>
      </c>
      <c r="B5" s="33" t="s">
        <v>6</v>
      </c>
      <c r="C5" s="34">
        <f>C6+C7</f>
        <v>595371</v>
      </c>
      <c r="D5" s="35" t="s">
        <v>6</v>
      </c>
      <c r="E5" s="35" t="s">
        <v>6</v>
      </c>
      <c r="F5" s="35">
        <f>F6+F7</f>
        <v>96558</v>
      </c>
      <c r="G5" s="36">
        <f>G6+G7</f>
        <v>1684482</v>
      </c>
      <c r="H5" s="36">
        <f t="shared" ref="H5" si="0">H6+H7</f>
        <v>595611</v>
      </c>
      <c r="I5" s="35">
        <f>I6+I7</f>
        <v>526637</v>
      </c>
      <c r="J5" s="35" t="s">
        <v>6</v>
      </c>
      <c r="K5" s="35">
        <f t="shared" ref="K5" si="1">K6+K7</f>
        <v>125941</v>
      </c>
      <c r="L5" s="34">
        <f t="shared" ref="L5:M5" si="2">L6+L7</f>
        <v>2109646</v>
      </c>
      <c r="M5" s="34">
        <f t="shared" si="2"/>
        <v>621556</v>
      </c>
      <c r="N5" s="35">
        <f>N6+N7</f>
        <v>912622</v>
      </c>
      <c r="O5" s="35" t="s">
        <v>6</v>
      </c>
      <c r="P5" s="35">
        <f t="shared" ref="P5" si="3">P6+P7</f>
        <v>142258</v>
      </c>
      <c r="Q5" s="36">
        <f t="shared" ref="Q5:R5" si="4">Q6+Q7</f>
        <v>2233396</v>
      </c>
      <c r="R5" s="34">
        <f t="shared" si="4"/>
        <v>588075</v>
      </c>
      <c r="S5" s="35">
        <f>S6+S7</f>
        <v>945319</v>
      </c>
      <c r="T5" s="35" t="s">
        <v>6</v>
      </c>
      <c r="U5" s="35">
        <f t="shared" ref="U5" si="5">U6+U7</f>
        <v>154359</v>
      </c>
      <c r="V5" s="36">
        <f t="shared" ref="V5:W5" si="6">V6+V7</f>
        <v>1528863</v>
      </c>
      <c r="W5" s="34">
        <f t="shared" si="6"/>
        <v>385701</v>
      </c>
      <c r="X5" s="36">
        <f>X6+X7</f>
        <v>676074</v>
      </c>
      <c r="Y5" s="35" t="s">
        <v>6</v>
      </c>
      <c r="Z5" s="35">
        <f>Z6+Z7</f>
        <v>110961</v>
      </c>
      <c r="AB5" s="2"/>
      <c r="AC5" s="2"/>
    </row>
    <row r="6" spans="1:29" ht="25.5" customHeight="1">
      <c r="A6" s="89" t="s">
        <v>4</v>
      </c>
      <c r="B6" s="37" t="s">
        <v>6</v>
      </c>
      <c r="C6" s="38">
        <v>400832</v>
      </c>
      <c r="D6" s="35" t="s">
        <v>6</v>
      </c>
      <c r="E6" s="35" t="s">
        <v>6</v>
      </c>
      <c r="F6" s="38">
        <v>58971</v>
      </c>
      <c r="G6" s="39">
        <v>1038031</v>
      </c>
      <c r="H6" s="39">
        <v>390661</v>
      </c>
      <c r="I6" s="102">
        <v>328637</v>
      </c>
      <c r="J6" s="41" t="s">
        <v>6</v>
      </c>
      <c r="K6" s="40">
        <v>73567</v>
      </c>
      <c r="L6" s="39">
        <v>1275706</v>
      </c>
      <c r="M6" s="38">
        <v>397551</v>
      </c>
      <c r="N6" s="102">
        <v>565602</v>
      </c>
      <c r="O6" s="35" t="s">
        <v>6</v>
      </c>
      <c r="P6" s="39">
        <v>79414</v>
      </c>
      <c r="Q6" s="39">
        <v>1266319</v>
      </c>
      <c r="R6" s="38">
        <v>384246</v>
      </c>
      <c r="S6" s="102">
        <v>592404</v>
      </c>
      <c r="T6" s="41" t="s">
        <v>6</v>
      </c>
      <c r="U6" s="38">
        <v>83181</v>
      </c>
      <c r="V6" s="39">
        <v>832351</v>
      </c>
      <c r="W6" s="38">
        <v>237731</v>
      </c>
      <c r="X6" s="102">
        <v>400737</v>
      </c>
      <c r="Y6" s="41" t="s">
        <v>6</v>
      </c>
      <c r="Z6" s="38">
        <v>54682</v>
      </c>
      <c r="AB6" s="2"/>
    </row>
    <row r="7" spans="1:29" ht="25.5" customHeight="1">
      <c r="A7" s="89" t="s">
        <v>5</v>
      </c>
      <c r="B7" s="37" t="s">
        <v>6</v>
      </c>
      <c r="C7" s="38">
        <v>194539</v>
      </c>
      <c r="D7" s="35" t="s">
        <v>6</v>
      </c>
      <c r="E7" s="35" t="s">
        <v>6</v>
      </c>
      <c r="F7" s="38">
        <v>37587</v>
      </c>
      <c r="G7" s="39">
        <v>646451</v>
      </c>
      <c r="H7" s="39">
        <v>204950</v>
      </c>
      <c r="I7" s="102">
        <v>198000</v>
      </c>
      <c r="J7" s="41" t="s">
        <v>6</v>
      </c>
      <c r="K7" s="40">
        <v>52374</v>
      </c>
      <c r="L7" s="39">
        <v>833940</v>
      </c>
      <c r="M7" s="38">
        <v>224005</v>
      </c>
      <c r="N7" s="102">
        <v>347020</v>
      </c>
      <c r="O7" s="35" t="s">
        <v>6</v>
      </c>
      <c r="P7" s="39">
        <v>62844</v>
      </c>
      <c r="Q7" s="38">
        <v>967077</v>
      </c>
      <c r="R7" s="38">
        <v>203829</v>
      </c>
      <c r="S7" s="102">
        <v>352915</v>
      </c>
      <c r="T7" s="41" t="s">
        <v>6</v>
      </c>
      <c r="U7" s="38">
        <v>71178</v>
      </c>
      <c r="V7" s="39">
        <v>696512</v>
      </c>
      <c r="W7" s="38">
        <v>147970</v>
      </c>
      <c r="X7" s="102">
        <v>275337</v>
      </c>
      <c r="Y7" s="41" t="s">
        <v>6</v>
      </c>
      <c r="Z7" s="38">
        <v>56279</v>
      </c>
      <c r="AB7" s="2"/>
    </row>
    <row r="8" spans="1:29" ht="30.75" customHeight="1">
      <c r="A8" s="90" t="s">
        <v>15</v>
      </c>
      <c r="B8" s="42" t="s">
        <v>6</v>
      </c>
      <c r="C8" s="43">
        <f>C9+C10</f>
        <v>41107.707069210002</v>
      </c>
      <c r="D8" s="35" t="s">
        <v>6</v>
      </c>
      <c r="E8" s="35" t="s">
        <v>6</v>
      </c>
      <c r="F8" s="43">
        <f>F9+F10</f>
        <v>20111.135585</v>
      </c>
      <c r="G8" s="44">
        <f>G9+G10</f>
        <v>71395.286449599997</v>
      </c>
      <c r="H8" s="44">
        <f t="shared" ref="H8" si="7">H9+H10</f>
        <v>42789.327705889998</v>
      </c>
      <c r="I8" s="45">
        <f>10000000000/1000000</f>
        <v>10000</v>
      </c>
      <c r="J8" s="35" t="s">
        <v>6</v>
      </c>
      <c r="K8" s="43">
        <f t="shared" ref="K8" si="8">K9+K10</f>
        <v>37907.164124000003</v>
      </c>
      <c r="L8" s="43">
        <f t="shared" ref="L8:M8" si="9">L9+L10</f>
        <v>97021.209312019986</v>
      </c>
      <c r="M8" s="43">
        <f t="shared" si="9"/>
        <v>46903.189229880001</v>
      </c>
      <c r="N8" s="45">
        <v>140000</v>
      </c>
      <c r="O8" s="35" t="s">
        <v>6</v>
      </c>
      <c r="P8" s="43">
        <f t="shared" ref="P8" si="10">P9+P10</f>
        <v>57586.154223000005</v>
      </c>
      <c r="Q8" s="44">
        <f t="shared" ref="Q8:R8" si="11">Q9+Q10</f>
        <v>106547.89795431</v>
      </c>
      <c r="R8" s="43">
        <f t="shared" si="11"/>
        <v>45307.813044729999</v>
      </c>
      <c r="S8" s="45">
        <f>S9+S10</f>
        <v>70000.000001751992</v>
      </c>
      <c r="T8" s="35" t="s">
        <v>6</v>
      </c>
      <c r="U8" s="43">
        <f t="shared" ref="U8" si="12">U9+U10</f>
        <v>42604.995469000001</v>
      </c>
      <c r="V8" s="44">
        <f t="shared" ref="V8:W8" si="13">V9+V10</f>
        <v>80075.561534510009</v>
      </c>
      <c r="W8" s="43">
        <f t="shared" si="13"/>
        <v>32776.469992309998</v>
      </c>
      <c r="X8" s="44">
        <f>X9+X10</f>
        <v>54000.000001695997</v>
      </c>
      <c r="Y8" s="35" t="s">
        <v>6</v>
      </c>
      <c r="Z8" s="43">
        <f t="shared" ref="Z8" si="14">Z9+Z10</f>
        <v>17470.294063000001</v>
      </c>
    </row>
    <row r="9" spans="1:29" ht="25.5" customHeight="1">
      <c r="A9" s="89" t="s">
        <v>14</v>
      </c>
      <c r="B9" s="46" t="s">
        <v>6</v>
      </c>
      <c r="C9" s="47">
        <f>27009367397.88/1000000</f>
        <v>27009.36739788</v>
      </c>
      <c r="D9" s="35" t="s">
        <v>6</v>
      </c>
      <c r="E9" s="35" t="s">
        <v>6</v>
      </c>
      <c r="F9" s="47">
        <f>10002190036/1000000</f>
        <v>10002.190036</v>
      </c>
      <c r="G9" s="48">
        <f>49791196746.27/1000000</f>
        <v>49791.196746269998</v>
      </c>
      <c r="H9" s="49">
        <f>28540802147.81/1000000</f>
        <v>28540.802147810002</v>
      </c>
      <c r="I9" s="81">
        <f>23000000000.031 /1000000</f>
        <v>23000.000000030999</v>
      </c>
      <c r="J9" s="41" t="s">
        <v>6</v>
      </c>
      <c r="K9" s="50">
        <f>19026240557/1000000</f>
        <v>19026.240557000001</v>
      </c>
      <c r="L9" s="49">
        <f>66194963733.47/1000000</f>
        <v>66194.963733469995</v>
      </c>
      <c r="M9" s="47">
        <f>31118139119.04/1000000</f>
        <v>31118.139119040003</v>
      </c>
      <c r="N9" s="51">
        <f>38000000000.873/1000000</f>
        <v>38000.000000872998</v>
      </c>
      <c r="O9" s="35" t="s">
        <v>6</v>
      </c>
      <c r="P9" s="49">
        <f>28763572270/1000000</f>
        <v>28763.572270000001</v>
      </c>
      <c r="Q9" s="49">
        <f>71086138817.53/1000000</f>
        <v>71086.138817529994</v>
      </c>
      <c r="R9" s="47">
        <f>29585729795.44/1000000</f>
        <v>29585.729795439998</v>
      </c>
      <c r="S9" s="81">
        <f>35000000000.873/1000000</f>
        <v>35000.000000872998</v>
      </c>
      <c r="T9" s="41" t="s">
        <v>6</v>
      </c>
      <c r="U9" s="47">
        <f>21291003204/1000000</f>
        <v>21291.003204000001</v>
      </c>
      <c r="V9" s="49">
        <f>53069073140.79/1000000</f>
        <v>53069.073140790002</v>
      </c>
      <c r="W9" s="47">
        <f>19973687770.94/1000000</f>
        <v>19973.68777094</v>
      </c>
      <c r="X9" s="48">
        <f>27000000000.848/1000000</f>
        <v>27000.000000847998</v>
      </c>
      <c r="Y9" s="41" t="s">
        <v>6</v>
      </c>
      <c r="Z9" s="47">
        <f>8764151214/1000000</f>
        <v>8764.1512139999995</v>
      </c>
    </row>
    <row r="10" spans="1:29" ht="25.5" customHeight="1">
      <c r="A10" s="89" t="s">
        <v>16</v>
      </c>
      <c r="B10" s="46" t="s">
        <v>6</v>
      </c>
      <c r="C10" s="47">
        <f>14098339671.33/1000000</f>
        <v>14098.339671330001</v>
      </c>
      <c r="D10" s="35" t="s">
        <v>6</v>
      </c>
      <c r="E10" s="35" t="s">
        <v>6</v>
      </c>
      <c r="F10" s="47">
        <f>10108945549/1000000</f>
        <v>10108.945549</v>
      </c>
      <c r="G10" s="49">
        <f>21604089703.33/1000000</f>
        <v>21604.089703330003</v>
      </c>
      <c r="H10" s="49">
        <f>14248525558.08/1000000</f>
        <v>14248.52555808</v>
      </c>
      <c r="I10" s="81">
        <f>23000000000.029/1000000</f>
        <v>23000.000000028998</v>
      </c>
      <c r="J10" s="41" t="s">
        <v>6</v>
      </c>
      <c r="K10" s="52">
        <f>18880923567/1000000</f>
        <v>18880.923567000002</v>
      </c>
      <c r="L10" s="47">
        <f>30826245578.55/1000000</f>
        <v>30826.245578549999</v>
      </c>
      <c r="M10" s="47">
        <f>15785050110.84/1000000</f>
        <v>15785.05011084</v>
      </c>
      <c r="N10" s="51">
        <f>38000000000.879/1000000</f>
        <v>38000.000000879001</v>
      </c>
      <c r="O10" s="35" t="s">
        <v>6</v>
      </c>
      <c r="P10" s="49">
        <f>28822581953/1000000</f>
        <v>28822.581953000001</v>
      </c>
      <c r="Q10" s="47">
        <f>35461759136.78/1000000</f>
        <v>35461.759136779998</v>
      </c>
      <c r="R10" s="47">
        <f>15722083249.29/1000000</f>
        <v>15722.083249290001</v>
      </c>
      <c r="S10" s="81">
        <f>35000000000.879/1000000</f>
        <v>35000.000000879001</v>
      </c>
      <c r="T10" s="41" t="s">
        <v>6</v>
      </c>
      <c r="U10" s="47">
        <f>21313992265/1000000</f>
        <v>21313.992265000001</v>
      </c>
      <c r="V10" s="47">
        <f>27006488393.72/1000000</f>
        <v>27006.488393720003</v>
      </c>
      <c r="W10" s="47">
        <f>12802782221.37/1000000</f>
        <v>12802.78222137</v>
      </c>
      <c r="X10" s="48">
        <f>27000000000.848/1000000</f>
        <v>27000.000000847998</v>
      </c>
      <c r="Y10" s="41" t="s">
        <v>6</v>
      </c>
      <c r="Z10" s="47">
        <f>8706142849/1000000</f>
        <v>8706.1428489999998</v>
      </c>
    </row>
    <row r="11" spans="1:29" ht="25.5" customHeight="1">
      <c r="A11" s="53" t="s">
        <v>1</v>
      </c>
      <c r="B11" s="54"/>
      <c r="C11" s="55"/>
      <c r="D11" s="35"/>
      <c r="E11" s="35"/>
      <c r="F11" s="55"/>
      <c r="G11" s="56"/>
      <c r="H11" s="57"/>
      <c r="I11" s="54"/>
      <c r="J11" s="35"/>
      <c r="K11" s="55"/>
      <c r="L11" s="58"/>
      <c r="M11" s="55"/>
      <c r="N11" s="54"/>
      <c r="O11" s="35"/>
      <c r="P11" s="57"/>
      <c r="Q11" s="59"/>
      <c r="R11" s="55"/>
      <c r="S11" s="54"/>
      <c r="T11" s="35"/>
      <c r="U11" s="55"/>
      <c r="V11" s="59"/>
      <c r="W11" s="55"/>
      <c r="X11" s="56"/>
      <c r="Y11" s="35"/>
      <c r="Z11" s="55"/>
    </row>
    <row r="12" spans="1:29" ht="25.5" customHeight="1">
      <c r="A12" s="88" t="s">
        <v>7</v>
      </c>
      <c r="B12" s="83" t="s">
        <v>6</v>
      </c>
      <c r="C12" s="61">
        <f>C13+C14</f>
        <v>988706</v>
      </c>
      <c r="D12" s="35" t="s">
        <v>6</v>
      </c>
      <c r="E12" s="35" t="s">
        <v>6</v>
      </c>
      <c r="F12" s="84">
        <v>209823</v>
      </c>
      <c r="G12" s="36">
        <f>G13+G14</f>
        <v>4000514</v>
      </c>
      <c r="H12" s="36">
        <f t="shared" ref="H12" si="15">H13+H14</f>
        <v>1227620</v>
      </c>
      <c r="I12" s="83">
        <v>213471</v>
      </c>
      <c r="J12" s="35" t="s">
        <v>6</v>
      </c>
      <c r="K12" s="84">
        <v>220353</v>
      </c>
      <c r="L12" s="61">
        <f t="shared" ref="L12:M12" si="16">L13+L14</f>
        <v>3941836</v>
      </c>
      <c r="M12" s="61">
        <f t="shared" si="16"/>
        <v>1338100</v>
      </c>
      <c r="N12" s="83">
        <v>478812</v>
      </c>
      <c r="O12" s="35" t="s">
        <v>6</v>
      </c>
      <c r="P12" s="85">
        <v>280065</v>
      </c>
      <c r="Q12" s="86">
        <f t="shared" ref="Q12:R12" si="17">Q13+Q14</f>
        <v>5416670</v>
      </c>
      <c r="R12" s="61">
        <f t="shared" si="17"/>
        <v>1499114</v>
      </c>
      <c r="S12" s="83">
        <v>546776</v>
      </c>
      <c r="T12" s="35" t="s">
        <v>6</v>
      </c>
      <c r="U12" s="84">
        <v>346628</v>
      </c>
      <c r="V12" s="86">
        <f t="shared" ref="V12:W12" si="18">V13+V14</f>
        <v>4362439</v>
      </c>
      <c r="W12" s="61">
        <f t="shared" si="18"/>
        <v>1278217</v>
      </c>
      <c r="X12" s="86">
        <v>433845</v>
      </c>
      <c r="Y12" s="35" t="s">
        <v>6</v>
      </c>
      <c r="Z12" s="84">
        <v>258586</v>
      </c>
    </row>
    <row r="13" spans="1:29" ht="25.5" customHeight="1">
      <c r="A13" s="89" t="s">
        <v>4</v>
      </c>
      <c r="B13" s="65" t="s">
        <v>6</v>
      </c>
      <c r="C13" s="62">
        <v>0</v>
      </c>
      <c r="D13" s="35" t="s">
        <v>6</v>
      </c>
      <c r="E13" s="35" t="s">
        <v>6</v>
      </c>
      <c r="F13" s="39">
        <v>0</v>
      </c>
      <c r="G13" s="63">
        <v>14166</v>
      </c>
      <c r="H13" s="63">
        <v>0</v>
      </c>
      <c r="I13" s="60" t="s">
        <v>6</v>
      </c>
      <c r="J13" s="41" t="s">
        <v>6</v>
      </c>
      <c r="K13" s="38" t="s">
        <v>6</v>
      </c>
      <c r="L13" s="62">
        <v>23066</v>
      </c>
      <c r="M13" s="63">
        <v>5308</v>
      </c>
      <c r="N13" s="60" t="s">
        <v>6</v>
      </c>
      <c r="O13" s="35" t="s">
        <v>6</v>
      </c>
      <c r="P13" s="39" t="s">
        <v>6</v>
      </c>
      <c r="Q13" s="63">
        <v>24269</v>
      </c>
      <c r="R13" s="62">
        <v>8392</v>
      </c>
      <c r="S13" s="60" t="s">
        <v>6</v>
      </c>
      <c r="T13" s="41" t="s">
        <v>6</v>
      </c>
      <c r="U13" s="38" t="s">
        <v>6</v>
      </c>
      <c r="V13" s="63">
        <v>20652</v>
      </c>
      <c r="W13" s="62">
        <v>10580</v>
      </c>
      <c r="X13" s="64" t="s">
        <v>6</v>
      </c>
      <c r="Y13" s="41" t="s">
        <v>6</v>
      </c>
      <c r="Z13" s="38" t="s">
        <v>6</v>
      </c>
    </row>
    <row r="14" spans="1:29" ht="25.5" customHeight="1">
      <c r="A14" s="89" t="s">
        <v>5</v>
      </c>
      <c r="B14" s="65" t="s">
        <v>6</v>
      </c>
      <c r="C14" s="62">
        <v>988706</v>
      </c>
      <c r="D14" s="35" t="s">
        <v>6</v>
      </c>
      <c r="E14" s="35" t="s">
        <v>6</v>
      </c>
      <c r="F14" s="62">
        <v>209823</v>
      </c>
      <c r="G14" s="63">
        <v>3986348</v>
      </c>
      <c r="H14" s="63">
        <v>1227620</v>
      </c>
      <c r="I14" s="60">
        <v>213471</v>
      </c>
      <c r="J14" s="41" t="s">
        <v>6</v>
      </c>
      <c r="K14" s="62">
        <v>220353</v>
      </c>
      <c r="L14" s="62">
        <v>3918770</v>
      </c>
      <c r="M14" s="63">
        <v>1332792</v>
      </c>
      <c r="N14" s="103">
        <v>474812</v>
      </c>
      <c r="O14" s="35" t="s">
        <v>6</v>
      </c>
      <c r="P14" s="63">
        <v>280065</v>
      </c>
      <c r="Q14" s="62">
        <v>5392401</v>
      </c>
      <c r="R14" s="62">
        <v>1490722</v>
      </c>
      <c r="S14" s="60">
        <v>546776</v>
      </c>
      <c r="T14" s="41" t="s">
        <v>6</v>
      </c>
      <c r="U14" s="62">
        <v>346628</v>
      </c>
      <c r="V14" s="62">
        <v>4341787</v>
      </c>
      <c r="W14" s="62">
        <v>1267637</v>
      </c>
      <c r="X14" s="64">
        <v>433845</v>
      </c>
      <c r="Y14" s="41" t="s">
        <v>6</v>
      </c>
      <c r="Z14" s="62">
        <v>258586</v>
      </c>
    </row>
    <row r="15" spans="1:29" ht="33" customHeight="1">
      <c r="A15" s="90" t="s">
        <v>15</v>
      </c>
      <c r="B15" s="66" t="s">
        <v>6</v>
      </c>
      <c r="C15" s="67">
        <f>C16+C17</f>
        <v>3708.1518999999998</v>
      </c>
      <c r="D15" s="35" t="s">
        <v>6</v>
      </c>
      <c r="E15" s="35" t="s">
        <v>6</v>
      </c>
      <c r="F15" s="67">
        <f>617036291.92/1000000</f>
        <v>617.03629191999994</v>
      </c>
      <c r="G15" s="68">
        <f>G16+G17</f>
        <v>1824.7197000000001</v>
      </c>
      <c r="H15" s="69">
        <f t="shared" ref="H15" si="19">H16+H17</f>
        <v>4495.9125999999997</v>
      </c>
      <c r="I15" s="82">
        <f>1512580786/1000000</f>
        <v>1512.580786</v>
      </c>
      <c r="J15" s="35" t="s">
        <v>6</v>
      </c>
      <c r="K15" s="67">
        <f>702248331.65/1000000</f>
        <v>702.24833164999995</v>
      </c>
      <c r="L15" s="70">
        <f t="shared" ref="L15:M15" si="20">L16+L17</f>
        <v>15922.844799999999</v>
      </c>
      <c r="M15" s="67">
        <f t="shared" si="20"/>
        <v>4610.6611270000003</v>
      </c>
      <c r="N15" s="104">
        <f>3663501625/1000000</f>
        <v>3663.5016249999999</v>
      </c>
      <c r="O15" s="35" t="s">
        <v>6</v>
      </c>
      <c r="P15" s="69">
        <f>924882893.61/1000000</f>
        <v>924.88289361</v>
      </c>
      <c r="Q15" s="68">
        <f t="shared" ref="Q15:R15" si="21">Q16+Q17</f>
        <v>21679.417150000001</v>
      </c>
      <c r="R15" s="67">
        <f t="shared" si="21"/>
        <v>5151.1906369999997</v>
      </c>
      <c r="S15" s="82">
        <v>3663.502</v>
      </c>
      <c r="T15" s="35" t="s">
        <v>6</v>
      </c>
      <c r="U15" s="67">
        <f>1108878440.08/1000000</f>
        <v>1108.87844008</v>
      </c>
      <c r="V15" s="70">
        <f t="shared" ref="V15:W15" si="22">V16+V17</f>
        <v>17389.7317</v>
      </c>
      <c r="W15" s="67">
        <f t="shared" si="22"/>
        <v>4213.075409</v>
      </c>
      <c r="X15" s="87">
        <v>3493.3409999999999</v>
      </c>
      <c r="Y15" s="35" t="s">
        <v>6</v>
      </c>
      <c r="Z15" s="71">
        <f>1108878440.08/1000000</f>
        <v>1108.87844008</v>
      </c>
    </row>
    <row r="16" spans="1:29" ht="25.5" customHeight="1">
      <c r="A16" s="89" t="s">
        <v>14</v>
      </c>
      <c r="B16" s="72" t="s">
        <v>6</v>
      </c>
      <c r="C16" s="73">
        <v>0</v>
      </c>
      <c r="D16" s="35" t="s">
        <v>6</v>
      </c>
      <c r="E16" s="35" t="s">
        <v>6</v>
      </c>
      <c r="F16" s="48">
        <v>0</v>
      </c>
      <c r="G16" s="74">
        <f>202154900/1000000</f>
        <v>202.1549</v>
      </c>
      <c r="H16" s="74">
        <v>0</v>
      </c>
      <c r="I16" s="60" t="s">
        <v>6</v>
      </c>
      <c r="J16" s="41" t="s">
        <v>6</v>
      </c>
      <c r="K16" s="52">
        <v>0</v>
      </c>
      <c r="L16" s="73">
        <f>322549200/1000000</f>
        <v>322.54919999999998</v>
      </c>
      <c r="M16" s="75">
        <f>55102621/1000000</f>
        <v>55.102620999999999</v>
      </c>
      <c r="N16" s="60" t="s">
        <v>6</v>
      </c>
      <c r="O16" s="35" t="s">
        <v>6</v>
      </c>
      <c r="P16" s="48">
        <v>0</v>
      </c>
      <c r="Q16" s="73">
        <f>93808550/1000000</f>
        <v>93.808549999999997</v>
      </c>
      <c r="R16" s="71">
        <f>84433434/1000000</f>
        <v>84.433434000000005</v>
      </c>
      <c r="S16" s="60" t="s">
        <v>6</v>
      </c>
      <c r="T16" s="41" t="s">
        <v>6</v>
      </c>
      <c r="U16" s="52">
        <v>0</v>
      </c>
      <c r="V16" s="73">
        <f>391491650/1000000</f>
        <v>391.49164999999999</v>
      </c>
      <c r="W16" s="71">
        <f>89007522/1000000</f>
        <v>89.007521999999994</v>
      </c>
      <c r="X16" s="64" t="s">
        <v>6</v>
      </c>
      <c r="Y16" s="41" t="s">
        <v>6</v>
      </c>
      <c r="Z16" s="52">
        <v>0</v>
      </c>
    </row>
    <row r="17" spans="1:26" ht="25.5" customHeight="1">
      <c r="A17" s="89" t="s">
        <v>5</v>
      </c>
      <c r="B17" s="72" t="s">
        <v>6</v>
      </c>
      <c r="C17" s="71">
        <f>3708151900/1000000</f>
        <v>3708.1518999999998</v>
      </c>
      <c r="D17" s="35" t="s">
        <v>6</v>
      </c>
      <c r="E17" s="35" t="s">
        <v>6</v>
      </c>
      <c r="F17" s="71">
        <f>617036291.92/1000000</f>
        <v>617.03629191999994</v>
      </c>
      <c r="G17" s="49">
        <f>1622564800/1000000</f>
        <v>1622.5648000000001</v>
      </c>
      <c r="H17" s="76">
        <f>4495912600/1000000</f>
        <v>4495.9125999999997</v>
      </c>
      <c r="I17" s="51">
        <f>1512580786/1000000</f>
        <v>1512.580786</v>
      </c>
      <c r="J17" s="41" t="s">
        <v>6</v>
      </c>
      <c r="K17" s="71">
        <f>702248331.65/1000000</f>
        <v>702.24833164999995</v>
      </c>
      <c r="L17" s="73">
        <f>15600295600/1000000</f>
        <v>15600.295599999999</v>
      </c>
      <c r="M17" s="75">
        <f>4555558506/1000000</f>
        <v>4555.5585060000003</v>
      </c>
      <c r="N17" s="105">
        <f>3663501625/1000000</f>
        <v>3663.5016249999999</v>
      </c>
      <c r="O17" s="35" t="s">
        <v>6</v>
      </c>
      <c r="P17" s="75">
        <f>924882893.61/1000000</f>
        <v>924.88289361</v>
      </c>
      <c r="Q17" s="73">
        <f>21585608600/1000000</f>
        <v>21585.6086</v>
      </c>
      <c r="R17" s="71">
        <f>5066757203/1000000</f>
        <v>5066.7572030000001</v>
      </c>
      <c r="S17" s="51">
        <f>3663501625/1000000</f>
        <v>3663.5016249999999</v>
      </c>
      <c r="T17" s="41" t="s">
        <v>6</v>
      </c>
      <c r="U17" s="71">
        <f>1108878440.08/1000000</f>
        <v>1108.87844008</v>
      </c>
      <c r="V17" s="73">
        <f>16998240050/1000000</f>
        <v>16998.24005</v>
      </c>
      <c r="W17" s="71">
        <f>4124067887/1000000</f>
        <v>4124.0678870000002</v>
      </c>
      <c r="X17" s="49">
        <f>3493341090/1000000</f>
        <v>3493.3410899999999</v>
      </c>
      <c r="Y17" s="41" t="s">
        <v>6</v>
      </c>
      <c r="Z17" s="71">
        <f>1108878440.08/1000000</f>
        <v>1108.87844008</v>
      </c>
    </row>
    <row r="18" spans="1:26" ht="25.5" customHeight="1">
      <c r="A18" s="77" t="s">
        <v>2</v>
      </c>
      <c r="B18" s="35"/>
      <c r="C18" s="78"/>
      <c r="D18" s="35"/>
      <c r="E18" s="35"/>
      <c r="F18" s="78"/>
      <c r="G18" s="39"/>
      <c r="H18" s="79"/>
      <c r="I18" s="35"/>
      <c r="J18" s="35"/>
      <c r="K18" s="78"/>
      <c r="L18" s="38"/>
      <c r="M18" s="79"/>
      <c r="N18" s="35"/>
      <c r="O18" s="35"/>
      <c r="P18" s="79"/>
      <c r="Q18" s="38"/>
      <c r="R18" s="78"/>
      <c r="S18" s="35"/>
      <c r="T18" s="35"/>
      <c r="U18" s="78"/>
      <c r="V18" s="38"/>
      <c r="W18" s="78"/>
      <c r="X18" s="39"/>
      <c r="Y18" s="35"/>
      <c r="Z18" s="78"/>
    </row>
    <row r="19" spans="1:26" ht="25.5" customHeight="1">
      <c r="A19" s="88" t="s">
        <v>7</v>
      </c>
      <c r="B19" s="83" t="s">
        <v>6</v>
      </c>
      <c r="C19" s="91">
        <v>1977</v>
      </c>
      <c r="D19" s="35" t="s">
        <v>6</v>
      </c>
      <c r="E19" s="35" t="s">
        <v>6</v>
      </c>
      <c r="F19" s="91">
        <v>43</v>
      </c>
      <c r="G19" s="86">
        <v>8743576</v>
      </c>
      <c r="H19" s="92">
        <v>56540</v>
      </c>
      <c r="I19" s="83" t="s">
        <v>6</v>
      </c>
      <c r="J19" s="35" t="s">
        <v>6</v>
      </c>
      <c r="K19" s="91">
        <v>3746</v>
      </c>
      <c r="L19" s="61">
        <v>17234785</v>
      </c>
      <c r="M19" s="106">
        <v>388003</v>
      </c>
      <c r="N19" s="83">
        <v>15632</v>
      </c>
      <c r="O19" s="35" t="s">
        <v>6</v>
      </c>
      <c r="P19" s="92">
        <v>109878</v>
      </c>
      <c r="Q19" s="61">
        <v>26538971</v>
      </c>
      <c r="R19" s="91">
        <v>917474</v>
      </c>
      <c r="S19" s="83">
        <v>388003</v>
      </c>
      <c r="T19" s="35" t="s">
        <v>6</v>
      </c>
      <c r="U19" s="91">
        <v>233859</v>
      </c>
      <c r="V19" s="61">
        <v>52775225</v>
      </c>
      <c r="W19" s="91">
        <v>2024897</v>
      </c>
      <c r="X19" s="86">
        <v>1128407</v>
      </c>
      <c r="Y19" s="35" t="s">
        <v>6</v>
      </c>
      <c r="Z19" s="91">
        <v>542480</v>
      </c>
    </row>
    <row r="20" spans="1:26" ht="30.75" customHeight="1">
      <c r="A20" s="98" t="s">
        <v>8</v>
      </c>
      <c r="B20" s="93" t="s">
        <v>6</v>
      </c>
      <c r="C20" s="94">
        <f>5131866.1/1000000</f>
        <v>5.1318660999999999</v>
      </c>
      <c r="D20" s="35" t="s">
        <v>6</v>
      </c>
      <c r="E20" s="35" t="s">
        <v>6</v>
      </c>
      <c r="F20" s="94">
        <f>987808.78/1000000</f>
        <v>0.98780878000000005</v>
      </c>
      <c r="G20" s="95">
        <f>584953758.51/1000000</f>
        <v>584.95375850999994</v>
      </c>
      <c r="H20" s="96">
        <f>501269683.11/1000000</f>
        <v>501.26968311000002</v>
      </c>
      <c r="I20" s="93" t="s">
        <v>6</v>
      </c>
      <c r="J20" s="35" t="s">
        <v>6</v>
      </c>
      <c r="K20" s="94">
        <f>45929788.87/1000000</f>
        <v>45.929788869999996</v>
      </c>
      <c r="L20" s="97">
        <f>34873316227.58/1000000</f>
        <v>34873.316227579999</v>
      </c>
      <c r="M20" s="96">
        <f>3539706908.07/1000000</f>
        <v>3539.7069080700003</v>
      </c>
      <c r="N20" s="93">
        <f>35049291.09/1000000</f>
        <v>35.049291090000004</v>
      </c>
      <c r="O20" s="35" t="s">
        <v>6</v>
      </c>
      <c r="P20" s="96">
        <f>382134704.34/1000000</f>
        <v>382.13470433999998</v>
      </c>
      <c r="Q20" s="97">
        <f>67463317751.69/1000000</f>
        <v>67463.317751690003</v>
      </c>
      <c r="R20" s="94">
        <f>8232418763.18/1000000</f>
        <v>8232.4187631799996</v>
      </c>
      <c r="S20" s="93">
        <f>897509682.83/1000000</f>
        <v>897.50968283000009</v>
      </c>
      <c r="T20" s="35" t="s">
        <v>6</v>
      </c>
      <c r="U20" s="94">
        <f>853311138.24/1000000</f>
        <v>853.31113823999999</v>
      </c>
      <c r="V20" s="97">
        <f>122523994858.04/1000000</f>
        <v>122523.99485803999</v>
      </c>
      <c r="W20" s="94">
        <f>11723961122.6/1000000</f>
        <v>11723.9611226</v>
      </c>
      <c r="X20" s="95">
        <f>2619017105.67/1000000</f>
        <v>2619.0171056700001</v>
      </c>
      <c r="Y20" s="35" t="s">
        <v>6</v>
      </c>
      <c r="Z20" s="94">
        <f>2234897044.57/1000000</f>
        <v>2234.8970445700002</v>
      </c>
    </row>
    <row r="21" spans="1:26" ht="18" customHeight="1">
      <c r="A21" s="99" t="s">
        <v>18</v>
      </c>
      <c r="B21" s="99"/>
      <c r="C21" s="99"/>
      <c r="D21" s="99"/>
      <c r="E21" s="99"/>
      <c r="F21" s="99"/>
      <c r="G21" s="99"/>
      <c r="H21" s="15"/>
      <c r="I21" s="14"/>
      <c r="J21" s="16"/>
      <c r="K21" s="11"/>
      <c r="L21" s="17"/>
      <c r="M21" s="15"/>
      <c r="N21" s="14"/>
      <c r="O21" s="16"/>
      <c r="P21" s="15"/>
      <c r="Q21" s="17"/>
      <c r="R21" s="15"/>
      <c r="S21" s="14"/>
      <c r="T21" s="16"/>
      <c r="U21" s="15"/>
      <c r="V21" s="17"/>
      <c r="W21" s="15"/>
      <c r="X21" s="17"/>
      <c r="Y21" s="18"/>
      <c r="Z21" s="15"/>
    </row>
    <row r="22" spans="1:26">
      <c r="A22" s="12" t="s">
        <v>17</v>
      </c>
      <c r="B22" s="6"/>
      <c r="C22" s="6"/>
      <c r="D22" s="6"/>
      <c r="E22" s="6"/>
      <c r="F22" s="6"/>
      <c r="G22" s="6"/>
      <c r="H22" s="6"/>
      <c r="I22" s="6"/>
      <c r="J22" s="6"/>
      <c r="K22" s="9"/>
      <c r="L22" s="6"/>
      <c r="M22" s="6"/>
      <c r="N22" s="6"/>
      <c r="O22" s="6"/>
      <c r="P22" s="6"/>
      <c r="Q22" s="6"/>
      <c r="R22" s="6"/>
      <c r="S22" s="6"/>
      <c r="T22" s="6"/>
      <c r="U22" s="6"/>
      <c r="V22" s="1"/>
      <c r="W22" s="1"/>
      <c r="X22" s="1"/>
      <c r="Y22" s="1"/>
      <c r="Z22" s="1"/>
    </row>
    <row r="23" spans="1:26">
      <c r="V23" s="3"/>
      <c r="W23" s="3"/>
      <c r="X23" s="3"/>
      <c r="Y23" s="3"/>
      <c r="Z23" s="3"/>
    </row>
    <row r="24" spans="1:26">
      <c r="V24" s="3"/>
      <c r="W24" s="3"/>
      <c r="X24" s="3"/>
      <c r="Y24" s="3"/>
      <c r="Z24" s="3"/>
    </row>
    <row r="25" spans="1:26">
      <c r="V25" s="2"/>
      <c r="W25" s="2"/>
      <c r="X25" s="2"/>
      <c r="Y25" s="2"/>
      <c r="Z25" s="2"/>
    </row>
    <row r="26" spans="1:26">
      <c r="V26" s="2"/>
      <c r="W26" s="2"/>
      <c r="X26" s="2"/>
      <c r="Y26" s="2"/>
      <c r="Z26" s="2"/>
    </row>
    <row r="27" spans="1:26">
      <c r="V27" s="2"/>
      <c r="W27" s="2"/>
      <c r="X27" s="2"/>
      <c r="Y27" s="2"/>
      <c r="Z27" s="2"/>
    </row>
    <row r="28" spans="1:26">
      <c r="V28" s="2"/>
      <c r="W28" s="2"/>
      <c r="X28" s="2"/>
      <c r="Y28" s="2"/>
      <c r="Z28" s="2"/>
    </row>
    <row r="29" spans="1:26">
      <c r="V29" s="2"/>
      <c r="W29" s="2"/>
      <c r="X29" s="2"/>
      <c r="Y29" s="2"/>
      <c r="Z29" s="2"/>
    </row>
  </sheetData>
  <mergeCells count="7">
    <mergeCell ref="A21:G21"/>
    <mergeCell ref="V2:Z2"/>
    <mergeCell ref="A2:A3"/>
    <mergeCell ref="B2:F2"/>
    <mergeCell ref="G2:K2"/>
    <mergeCell ref="L2:P2"/>
    <mergeCell ref="Q2:U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12.1.2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2021-10-18T11:31:03Z</dcterms:modified>
</cp:coreProperties>
</file>