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5. Agriculture\"/>
    </mc:Choice>
  </mc:AlternateContent>
  <xr:revisionPtr revIDLastSave="0" documentId="13_ncr:1_{1C389306-C7C0-4441-BFD1-F62AE6D473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42" i="1"/>
  <c r="G44" i="1" s="1"/>
  <c r="G40" i="1"/>
  <c r="G39" i="1"/>
  <c r="G41" i="1" s="1"/>
  <c r="G37" i="1"/>
  <c r="G34" i="1"/>
  <c r="G33" i="1"/>
  <c r="G35" i="1" s="1"/>
  <c r="G31" i="1"/>
  <c r="G30" i="1"/>
  <c r="G32" i="1" s="1"/>
  <c r="G28" i="1"/>
  <c r="G24" i="1"/>
  <c r="G26" i="1" s="1"/>
  <c r="G25" i="1"/>
  <c r="G22" i="1"/>
  <c r="G21" i="1"/>
  <c r="G23" i="1" s="1"/>
  <c r="G19" i="1"/>
  <c r="G18" i="1"/>
  <c r="G20" i="1" s="1"/>
  <c r="G16" i="1"/>
  <c r="G15" i="1"/>
  <c r="G17" i="1"/>
  <c r="G13" i="1"/>
  <c r="G12" i="1"/>
  <c r="G14" i="1"/>
  <c r="G10" i="1"/>
  <c r="G9" i="1"/>
  <c r="G11" i="1"/>
  <c r="G7" i="1"/>
  <c r="G6" i="1"/>
  <c r="G8" i="1"/>
  <c r="G4" i="1"/>
  <c r="G5" i="1"/>
  <c r="G3" i="1"/>
  <c r="F47" i="1"/>
  <c r="F46" i="1"/>
  <c r="F45" i="1"/>
  <c r="F44" i="1"/>
  <c r="F43" i="1"/>
  <c r="F42" i="1"/>
  <c r="F37" i="1"/>
  <c r="F35" i="1"/>
  <c r="F34" i="1"/>
  <c r="F33" i="1"/>
  <c r="F32" i="1"/>
  <c r="F31" i="1"/>
  <c r="F30" i="1"/>
  <c r="F28" i="1"/>
  <c r="F26" i="1"/>
  <c r="F25" i="1"/>
  <c r="F24" i="1"/>
  <c r="F23" i="1"/>
  <c r="F22" i="1"/>
  <c r="F21" i="1"/>
  <c r="F20" i="1"/>
  <c r="F19" i="1"/>
  <c r="F18" i="1"/>
  <c r="F14" i="1"/>
  <c r="F13" i="1"/>
  <c r="F12" i="1"/>
  <c r="F17" i="1"/>
  <c r="F16" i="1"/>
  <c r="F15" i="1"/>
  <c r="F11" i="1"/>
  <c r="F10" i="1"/>
  <c r="F9" i="1"/>
  <c r="F8" i="1"/>
  <c r="F7" i="1"/>
  <c r="F6" i="1"/>
  <c r="F5" i="1"/>
  <c r="F4" i="1"/>
  <c r="F3" i="1"/>
  <c r="E47" i="1"/>
  <c r="E44" i="1"/>
  <c r="E41" i="1"/>
  <c r="E35" i="1"/>
  <c r="E32" i="1"/>
  <c r="E26" i="1"/>
  <c r="E23" i="1"/>
  <c r="E20" i="1"/>
  <c r="E14" i="1"/>
  <c r="E17" i="1"/>
  <c r="E11" i="1"/>
  <c r="E8" i="1"/>
  <c r="E5" i="1"/>
  <c r="D11" i="1"/>
  <c r="D35" i="1"/>
  <c r="D47" i="1"/>
  <c r="D17" i="1"/>
  <c r="D8" i="1"/>
  <c r="D5" i="1"/>
  <c r="D32" i="1"/>
  <c r="D14" i="1"/>
  <c r="D20" i="1"/>
  <c r="D41" i="1"/>
  <c r="D26" i="1"/>
  <c r="D23" i="1"/>
  <c r="C47" i="1" l="1"/>
  <c r="C44" i="1"/>
  <c r="C41" i="1"/>
  <c r="C35" i="1"/>
  <c r="C32" i="1"/>
  <c r="C29" i="1"/>
  <c r="C26" i="1"/>
  <c r="C23" i="1"/>
  <c r="C20" i="1"/>
  <c r="C17" i="1"/>
  <c r="C14" i="1"/>
  <c r="C11" i="1"/>
  <c r="C8" i="1"/>
  <c r="C5" i="1"/>
</calcChain>
</file>

<file path=xl/sharedStrings.xml><?xml version="1.0" encoding="utf-8"?>
<sst xmlns="http://schemas.openxmlformats.org/spreadsheetml/2006/main" count="90" uniqueCount="23">
  <si>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</si>
  <si>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</si>
  <si>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</si>
  <si>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</si>
  <si>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</si>
  <si>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</si>
  <si>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</si>
  <si>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</si>
  <si>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</si>
  <si>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</si>
  <si>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</si>
  <si>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</si>
  <si>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</si>
  <si>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</si>
  <si>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</si>
  <si>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</si>
  <si>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</si>
  <si>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</si>
  <si>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Mustard</t>
  </si>
  <si>
    <t>Soyabean</t>
  </si>
  <si>
    <t>...</t>
  </si>
  <si>
    <t>Source: Integrated Agriculture and Livestock Census 2022, NSB</t>
  </si>
  <si>
    <r>
      <t xml:space="preserve">Table 5.10: Major Spices &amp; Oilseeds production, Dagana </t>
    </r>
    <r>
      <rPr>
        <b/>
        <sz val="12"/>
        <color indexed="8"/>
        <rFont val="Calibri Light"/>
        <family val="2"/>
      </rPr>
      <t>(2020-2024)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</si>
</sst>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/>
    <xf numFmtId="164" fontId="6" fillId="0" borderId="4" xfId="1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 indent="1"/>
    </xf>
    <xf numFmtId="0" fontId="6" fillId="0" borderId="6" xfId="0" applyFont="1" applyBorder="1" applyAlignment="1">
      <alignment horizontal="right" vertical="center" indent="1"/>
    </xf>
    <xf numFmtId="3" fontId="6" fillId="0" borderId="6" xfId="0" applyNumberFormat="1" applyFont="1" applyBorder="1" applyAlignment="1">
      <alignment horizontal="right" vertical="center" indent="1"/>
    </xf>
    <xf numFmtId="0" fontId="6" fillId="0" borderId="1" xfId="0" applyFont="1" applyBorder="1" applyAlignment="1">
      <alignment horizontal="right" vertical="center" indent="1"/>
    </xf>
    <xf numFmtId="4" fontId="6" fillId="0" borderId="0" xfId="0" applyNumberFormat="1" applyFont="1" applyAlignment="1">
      <alignment horizontal="right" vertical="center" indent="1"/>
    </xf>
    <xf numFmtId="4" fontId="6" fillId="0" borderId="1" xfId="0" applyNumberFormat="1" applyFont="1" applyBorder="1" applyAlignment="1">
      <alignment horizontal="right" vertical="center" indent="1"/>
    </xf>
    <xf numFmtId="2" fontId="6" fillId="0" borderId="1" xfId="0" applyNumberFormat="1" applyFont="1" applyBorder="1" applyAlignment="1">
      <alignment horizontal="right" vertical="center" indent="1"/>
    </xf>
    <xf numFmtId="1" fontId="6" fillId="0" borderId="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right" vertical="center" indent="1"/>
    </xf>
    <xf numFmtId="4" fontId="6" fillId="0" borderId="6" xfId="0" applyNumberFormat="1" applyFont="1" applyBorder="1" applyAlignment="1">
      <alignment horizontal="right" vertical="center" indent="1"/>
    </xf>
    <xf numFmtId="164" fontId="6" fillId="0" borderId="1" xfId="1" applyNumberFormat="1" applyFont="1" applyBorder="1" applyAlignment="1">
      <alignment horizontal="left" vertical="center"/>
    </xf>
    <xf numFmtId="164" fontId="6" fillId="0" borderId="0" xfId="1" applyNumberFormat="1" applyFont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P48"/>
  <sheetViews>
    <sheetView tabSelected="1" zoomScaleNormal="100" workbookViewId="0">
      <selection activeCell="J46" sqref="J46"/>
    </sheetView>
  </sheetViews>
  <sheetFormatPr defaultColWidth="9.1796875" defaultRowHeight="15.5"/>
  <cols>
    <col min="1" max="1" width="14.453125" style="3" customWidth="1"/>
    <col min="2" max="2" width="19.54296875" style="3" customWidth="1"/>
    <col min="3" max="3" width="14.26953125" style="3" bestFit="1" customWidth="1"/>
    <col min="4" max="4" width="9.81640625" style="3" bestFit="1" customWidth="1"/>
    <col min="5" max="5" width="10.7265625" style="3" customWidth="1"/>
    <col min="6" max="7" width="12" style="3" bestFit="1" customWidth="1"/>
    <col min="8" max="250" width="9.1796875" style="3"/>
    <col min="251" max="16384" width="9.1796875" style="4"/>
  </cols>
  <sheetData>
    <row r="1" spans="1:7" ht="28.5" customHeight="1">
      <c r="A1" s="1" t="s">
        <v>22</v>
      </c>
      <c r="B1" s="2"/>
    </row>
    <row r="2" spans="1:7" ht="26.25" customHeight="1">
      <c r="A2" s="22" t="s">
        <v>0</v>
      </c>
      <c r="B2" s="23"/>
      <c r="C2" s="9">
        <v>2020</v>
      </c>
      <c r="D2" s="9">
        <v>2021</v>
      </c>
      <c r="E2" s="9">
        <v>2022</v>
      </c>
      <c r="F2" s="9">
        <v>2023</v>
      </c>
      <c r="G2" s="9">
        <v>2024</v>
      </c>
    </row>
    <row r="3" spans="1:7" ht="19.5" customHeight="1">
      <c r="A3" s="19" t="s">
        <v>1</v>
      </c>
      <c r="B3" s="5" t="s">
        <v>2</v>
      </c>
      <c r="C3" s="13">
        <v>1990.58</v>
      </c>
      <c r="D3" s="13">
        <v>1988.56</v>
      </c>
      <c r="E3" s="13">
        <v>2278.2600000000002</v>
      </c>
      <c r="F3" s="13">
        <f>184999/100</f>
        <v>1849.99</v>
      </c>
      <c r="G3" s="13">
        <f>102126/100</f>
        <v>1021.26</v>
      </c>
    </row>
    <row r="4" spans="1:7" ht="19.5" customHeight="1">
      <c r="A4" s="20"/>
      <c r="B4" s="6" t="s">
        <v>4</v>
      </c>
      <c r="C4" s="13">
        <v>273.07</v>
      </c>
      <c r="D4" s="13">
        <v>250.38</v>
      </c>
      <c r="E4" s="13">
        <v>290.24</v>
      </c>
      <c r="F4" s="13">
        <f>281433/1000</f>
        <v>281.43299999999999</v>
      </c>
      <c r="G4" s="13">
        <f>193056/1000</f>
        <v>193.05600000000001</v>
      </c>
    </row>
    <row r="5" spans="1:7" ht="19.5" customHeight="1">
      <c r="A5" s="21"/>
      <c r="B5" s="7" t="s">
        <v>5</v>
      </c>
      <c r="C5" s="11">
        <f>273070/C3</f>
        <v>137.18112308975273</v>
      </c>
      <c r="D5" s="11">
        <f>250380/1988.56</f>
        <v>125.91020638049645</v>
      </c>
      <c r="E5" s="11">
        <f>290240/E3</f>
        <v>127.39546847155285</v>
      </c>
      <c r="F5" s="11">
        <f>281433/F3</f>
        <v>152.12676825280136</v>
      </c>
      <c r="G5" s="11">
        <f>195056/G3</f>
        <v>190.99543700918474</v>
      </c>
    </row>
    <row r="6" spans="1:7" ht="19.5" customHeight="1">
      <c r="A6" s="19" t="s">
        <v>6</v>
      </c>
      <c r="B6" s="5" t="s">
        <v>2</v>
      </c>
      <c r="C6" s="14">
        <v>157.54</v>
      </c>
      <c r="D6" s="14">
        <v>168.52</v>
      </c>
      <c r="E6" s="14">
        <v>104.93</v>
      </c>
      <c r="F6" s="14">
        <f>8158/100</f>
        <v>81.58</v>
      </c>
      <c r="G6" s="14">
        <f>7560/100</f>
        <v>75.599999999999994</v>
      </c>
    </row>
    <row r="7" spans="1:7" ht="19.5" customHeight="1">
      <c r="A7" s="20"/>
      <c r="B7" s="6" t="s">
        <v>4</v>
      </c>
      <c r="C7" s="13">
        <v>291.77</v>
      </c>
      <c r="D7" s="13">
        <v>214.31</v>
      </c>
      <c r="E7" s="13">
        <v>146.82</v>
      </c>
      <c r="F7" s="13">
        <f>129645/1000</f>
        <v>129.64500000000001</v>
      </c>
      <c r="G7" s="13">
        <f>111569/1000</f>
        <v>111.569</v>
      </c>
    </row>
    <row r="8" spans="1:7" ht="19.5" customHeight="1">
      <c r="A8" s="21"/>
      <c r="B8" s="7" t="s">
        <v>5</v>
      </c>
      <c r="C8" s="11">
        <f>291770/C6</f>
        <v>1852.0375777580298</v>
      </c>
      <c r="D8" s="11">
        <f>214310/168.52</f>
        <v>1271.7184903868977</v>
      </c>
      <c r="E8" s="11">
        <f>146820/E6</f>
        <v>1399.2185266368053</v>
      </c>
      <c r="F8" s="11">
        <f>129645/F6</f>
        <v>1589.1762686933073</v>
      </c>
      <c r="G8" s="11">
        <f>111569/G6</f>
        <v>1475.7804232804233</v>
      </c>
    </row>
    <row r="9" spans="1:7" ht="19.5" customHeight="1">
      <c r="A9" s="19" t="s">
        <v>7</v>
      </c>
      <c r="B9" s="5" t="s">
        <v>2</v>
      </c>
      <c r="C9" s="14">
        <v>10.65</v>
      </c>
      <c r="D9" s="14">
        <v>27.28</v>
      </c>
      <c r="E9" s="14">
        <v>11.71</v>
      </c>
      <c r="F9" s="14">
        <f>920/100</f>
        <v>9.1999999999999993</v>
      </c>
      <c r="G9" s="14">
        <f>1132/100</f>
        <v>11.32</v>
      </c>
    </row>
    <row r="10" spans="1:7" ht="19.5" customHeight="1">
      <c r="A10" s="20"/>
      <c r="B10" s="6" t="s">
        <v>4</v>
      </c>
      <c r="C10" s="13">
        <v>10.050000000000001</v>
      </c>
      <c r="D10" s="13">
        <v>19.21</v>
      </c>
      <c r="E10" s="13">
        <v>9.83</v>
      </c>
      <c r="F10" s="13">
        <f>9273/1000</f>
        <v>9.2729999999999997</v>
      </c>
      <c r="G10" s="13">
        <f>10620/1000</f>
        <v>10.62</v>
      </c>
    </row>
    <row r="11" spans="1:7" ht="19.5" customHeight="1">
      <c r="A11" s="21"/>
      <c r="B11" s="7" t="s">
        <v>5</v>
      </c>
      <c r="C11" s="11">
        <f>10650/C9</f>
        <v>1000</v>
      </c>
      <c r="D11" s="11">
        <f>19210/27.28</f>
        <v>704.17888563049848</v>
      </c>
      <c r="E11" s="11">
        <f>9831/E9</f>
        <v>839.53885567890688</v>
      </c>
      <c r="F11" s="11">
        <f>9273/F9</f>
        <v>1007.9347826086957</v>
      </c>
      <c r="G11" s="11">
        <f>10620/G9</f>
        <v>938.16254416961124</v>
      </c>
    </row>
    <row r="12" spans="1:7" ht="19.5" customHeight="1">
      <c r="A12" s="19" t="s">
        <v>8</v>
      </c>
      <c r="B12" s="5" t="s">
        <v>2</v>
      </c>
      <c r="C12" s="14">
        <v>27.09</v>
      </c>
      <c r="D12" s="14">
        <v>111.22</v>
      </c>
      <c r="E12" s="14">
        <v>29.06</v>
      </c>
      <c r="F12" s="14">
        <f>2094/100</f>
        <v>20.94</v>
      </c>
      <c r="G12" s="14">
        <f>1363/100</f>
        <v>13.63</v>
      </c>
    </row>
    <row r="13" spans="1:7" ht="19.5" customHeight="1">
      <c r="A13" s="20"/>
      <c r="B13" s="6" t="s">
        <v>4</v>
      </c>
      <c r="C13" s="13">
        <v>27.67</v>
      </c>
      <c r="D13" s="13">
        <v>109.94</v>
      </c>
      <c r="E13" s="13">
        <v>27.56</v>
      </c>
      <c r="F13" s="13">
        <f>21851/1000</f>
        <v>21.850999999999999</v>
      </c>
      <c r="G13" s="13">
        <f>11321/1000</f>
        <v>11.321</v>
      </c>
    </row>
    <row r="14" spans="1:7" ht="19.5" customHeight="1">
      <c r="A14" s="21"/>
      <c r="B14" s="7" t="s">
        <v>5</v>
      </c>
      <c r="C14" s="11">
        <f>27670/C12</f>
        <v>1021.4101144333703</v>
      </c>
      <c r="D14" s="11">
        <f>109940/111.22</f>
        <v>988.49127854702397</v>
      </c>
      <c r="E14" s="11">
        <f>27560/E12</f>
        <v>948.38265657260843</v>
      </c>
      <c r="F14" s="11">
        <f>21851/F12</f>
        <v>1043.5052531041069</v>
      </c>
      <c r="G14" s="11">
        <f>11321/G12</f>
        <v>830.59427732942038</v>
      </c>
    </row>
    <row r="15" spans="1:7" ht="19.5" customHeight="1">
      <c r="A15" s="19" t="s">
        <v>9</v>
      </c>
      <c r="B15" s="5" t="s">
        <v>2</v>
      </c>
      <c r="C15" s="14">
        <v>153.76</v>
      </c>
      <c r="D15" s="14">
        <v>184.09</v>
      </c>
      <c r="E15" s="14">
        <v>138.41999999999999</v>
      </c>
      <c r="F15" s="14">
        <f>13440/100</f>
        <v>134.4</v>
      </c>
      <c r="G15" s="14">
        <f>7250/100</f>
        <v>72.5</v>
      </c>
    </row>
    <row r="16" spans="1:7" ht="19.5" customHeight="1">
      <c r="A16" s="20"/>
      <c r="B16" s="6" t="s">
        <v>4</v>
      </c>
      <c r="C16" s="13">
        <v>246.74</v>
      </c>
      <c r="D16" s="13">
        <v>326.85000000000002</v>
      </c>
      <c r="E16" s="13">
        <v>185.91</v>
      </c>
      <c r="F16" s="13">
        <f>244203/1000</f>
        <v>244.203</v>
      </c>
      <c r="G16" s="13">
        <f>118389/1000</f>
        <v>118.389</v>
      </c>
    </row>
    <row r="17" spans="1:7" ht="19.5" customHeight="1">
      <c r="A17" s="21"/>
      <c r="B17" s="7" t="s">
        <v>5</v>
      </c>
      <c r="C17" s="11">
        <f>246740/C15</f>
        <v>1604.7086368366286</v>
      </c>
      <c r="D17" s="11">
        <f>326850/184.09</f>
        <v>1775.4902493345646</v>
      </c>
      <c r="E17" s="11">
        <f>185910/E15</f>
        <v>1343.0862592110968</v>
      </c>
      <c r="F17" s="11">
        <f>244203/F15</f>
        <v>1816.9866071428571</v>
      </c>
      <c r="G17" s="11">
        <f>118389/G15</f>
        <v>1632.951724137931</v>
      </c>
    </row>
    <row r="18" spans="1:7" ht="19.5" customHeight="1">
      <c r="A18" s="19" t="s">
        <v>10</v>
      </c>
      <c r="B18" s="5" t="s">
        <v>2</v>
      </c>
      <c r="C18" s="14">
        <v>135.37</v>
      </c>
      <c r="D18" s="14">
        <v>245.85</v>
      </c>
      <c r="E18" s="14">
        <v>141.94999999999999</v>
      </c>
      <c r="F18" s="14">
        <f>9974/100</f>
        <v>99.74</v>
      </c>
      <c r="G18" s="14">
        <f>5375/100</f>
        <v>53.75</v>
      </c>
    </row>
    <row r="19" spans="1:7" ht="19.5" customHeight="1">
      <c r="A19" s="20"/>
      <c r="B19" s="6" t="s">
        <v>4</v>
      </c>
      <c r="C19" s="13">
        <v>190.42</v>
      </c>
      <c r="D19" s="13">
        <v>270.76</v>
      </c>
      <c r="E19" s="13">
        <v>146.11000000000001</v>
      </c>
      <c r="F19" s="13">
        <f>123854/1000</f>
        <v>123.854</v>
      </c>
      <c r="G19" s="13">
        <f>57275/1000</f>
        <v>57.274999999999999</v>
      </c>
    </row>
    <row r="20" spans="1:7" ht="19.5" customHeight="1">
      <c r="A20" s="21"/>
      <c r="B20" s="7" t="s">
        <v>5</v>
      </c>
      <c r="C20" s="11">
        <f>190420/C18</f>
        <v>1406.6632193248133</v>
      </c>
      <c r="D20" s="11">
        <f>270760/245.85</f>
        <v>1101.3219442749644</v>
      </c>
      <c r="E20" s="11">
        <f>146110/E18</f>
        <v>1029.306093694963</v>
      </c>
      <c r="F20" s="11">
        <f>123854/F18</f>
        <v>1241.7685983557249</v>
      </c>
      <c r="G20" s="11">
        <f>57275/G18</f>
        <v>1065.5813953488373</v>
      </c>
    </row>
    <row r="21" spans="1:7" ht="19.5" customHeight="1">
      <c r="A21" s="19" t="s">
        <v>11</v>
      </c>
      <c r="B21" s="5" t="s">
        <v>2</v>
      </c>
      <c r="C21" s="14">
        <v>84.17</v>
      </c>
      <c r="D21" s="14">
        <v>82.37</v>
      </c>
      <c r="E21" s="14">
        <v>53.18</v>
      </c>
      <c r="F21" s="14">
        <f>4420/100</f>
        <v>44.2</v>
      </c>
      <c r="G21" s="14">
        <f>3156/100</f>
        <v>31.56</v>
      </c>
    </row>
    <row r="22" spans="1:7" ht="19.5" customHeight="1">
      <c r="A22" s="20"/>
      <c r="B22" s="6" t="s">
        <v>4</v>
      </c>
      <c r="C22" s="13">
        <v>131.09</v>
      </c>
      <c r="D22" s="13">
        <v>119.4</v>
      </c>
      <c r="E22" s="13">
        <v>64.37</v>
      </c>
      <c r="F22" s="13">
        <f>66164/1000</f>
        <v>66.164000000000001</v>
      </c>
      <c r="G22" s="13">
        <f>41695/1000</f>
        <v>41.695</v>
      </c>
    </row>
    <row r="23" spans="1:7" ht="19.5" customHeight="1">
      <c r="A23" s="21"/>
      <c r="B23" s="7" t="s">
        <v>5</v>
      </c>
      <c r="C23" s="11">
        <f>131090/C21</f>
        <v>1557.4432695734822</v>
      </c>
      <c r="D23" s="11">
        <f>119400/82.37</f>
        <v>1449.5568775039455</v>
      </c>
      <c r="E23" s="11">
        <f>64370/E21</f>
        <v>1210.4174501692366</v>
      </c>
      <c r="F23" s="11">
        <f>66164/F21</f>
        <v>1496.9230769230769</v>
      </c>
      <c r="G23" s="11">
        <f>41695/G21</f>
        <v>1321.1343472750318</v>
      </c>
    </row>
    <row r="24" spans="1:7" ht="19.5" customHeight="1">
      <c r="A24" s="19" t="s">
        <v>12</v>
      </c>
      <c r="B24" s="5" t="s">
        <v>2</v>
      </c>
      <c r="C24" s="14">
        <v>93.73</v>
      </c>
      <c r="D24" s="14">
        <v>103.93</v>
      </c>
      <c r="E24" s="14">
        <v>64.959999999999994</v>
      </c>
      <c r="F24" s="14">
        <f>5173/100</f>
        <v>51.73</v>
      </c>
      <c r="G24" s="14">
        <f>3151/100</f>
        <v>31.51</v>
      </c>
    </row>
    <row r="25" spans="1:7" ht="19.5" customHeight="1">
      <c r="A25" s="20"/>
      <c r="B25" s="6" t="s">
        <v>4</v>
      </c>
      <c r="C25" s="13">
        <v>197.43</v>
      </c>
      <c r="D25" s="13">
        <v>137.81</v>
      </c>
      <c r="E25" s="13">
        <v>93.19</v>
      </c>
      <c r="F25" s="13">
        <f>84829/1000</f>
        <v>84.828999999999994</v>
      </c>
      <c r="G25" s="13">
        <f>54651/1000</f>
        <v>54.651000000000003</v>
      </c>
    </row>
    <row r="26" spans="1:7" ht="19.5" customHeight="1">
      <c r="A26" s="21"/>
      <c r="B26" s="7" t="s">
        <v>5</v>
      </c>
      <c r="C26" s="11">
        <f>197430/C24</f>
        <v>2106.3693587965431</v>
      </c>
      <c r="D26" s="11">
        <f>137810/103.93</f>
        <v>1325.9886462041759</v>
      </c>
      <c r="E26" s="11">
        <f>93190/E24</f>
        <v>1434.5751231527095</v>
      </c>
      <c r="F26" s="11">
        <f>84829/F24</f>
        <v>1639.8414846317419</v>
      </c>
      <c r="G26" s="11">
        <f>54651/G24</f>
        <v>1734.4017772135828</v>
      </c>
    </row>
    <row r="27" spans="1:7" ht="19.5" customHeight="1">
      <c r="A27" s="19" t="s">
        <v>13</v>
      </c>
      <c r="B27" s="5" t="s">
        <v>2</v>
      </c>
      <c r="C27" s="14">
        <v>27.28</v>
      </c>
      <c r="D27" s="14" t="s">
        <v>3</v>
      </c>
      <c r="E27" s="14" t="s">
        <v>20</v>
      </c>
      <c r="F27" s="14" t="s">
        <v>3</v>
      </c>
      <c r="G27" s="14" t="s">
        <v>3</v>
      </c>
    </row>
    <row r="28" spans="1:7" ht="19.5" customHeight="1">
      <c r="A28" s="20"/>
      <c r="B28" s="6" t="s">
        <v>4</v>
      </c>
      <c r="C28" s="13">
        <v>4.1100000000000003</v>
      </c>
      <c r="D28" s="13">
        <v>124.38</v>
      </c>
      <c r="E28" s="13" t="s">
        <v>3</v>
      </c>
      <c r="F28" s="13">
        <f>129527/1000</f>
        <v>129.52699999999999</v>
      </c>
      <c r="G28" s="13">
        <f>88929/1000</f>
        <v>88.929000000000002</v>
      </c>
    </row>
    <row r="29" spans="1:7" ht="19.5" customHeight="1">
      <c r="A29" s="21"/>
      <c r="B29" s="7" t="s">
        <v>5</v>
      </c>
      <c r="C29" s="11">
        <f>4110/C27</f>
        <v>150.65982404692082</v>
      </c>
      <c r="D29" s="11" t="s">
        <v>3</v>
      </c>
      <c r="E29" s="11" t="s">
        <v>3</v>
      </c>
      <c r="F29" s="11" t="s">
        <v>3</v>
      </c>
      <c r="G29" s="11" t="s">
        <v>3</v>
      </c>
    </row>
    <row r="30" spans="1:7" ht="19.5" customHeight="1">
      <c r="A30" s="19" t="s">
        <v>14</v>
      </c>
      <c r="B30" s="5" t="s">
        <v>2</v>
      </c>
      <c r="C30" s="14">
        <v>109.42</v>
      </c>
      <c r="D30" s="14">
        <v>62.87</v>
      </c>
      <c r="E30" s="14">
        <v>36.36</v>
      </c>
      <c r="F30" s="14">
        <f>4104/100</f>
        <v>41.04</v>
      </c>
      <c r="G30" s="14">
        <f>3579/100</f>
        <v>35.79</v>
      </c>
    </row>
    <row r="31" spans="1:7" ht="19.5" customHeight="1">
      <c r="A31" s="20"/>
      <c r="B31" s="6" t="s">
        <v>4</v>
      </c>
      <c r="C31" s="13">
        <v>123.81</v>
      </c>
      <c r="D31" s="13">
        <v>108.46</v>
      </c>
      <c r="E31" s="13">
        <v>50.24</v>
      </c>
      <c r="F31" s="13">
        <f>62093/1000</f>
        <v>62.093000000000004</v>
      </c>
      <c r="G31" s="13">
        <f>45048/1000</f>
        <v>45.048000000000002</v>
      </c>
    </row>
    <row r="32" spans="1:7" ht="19.5" customHeight="1">
      <c r="A32" s="21"/>
      <c r="B32" s="7" t="s">
        <v>5</v>
      </c>
      <c r="C32" s="11">
        <f>123810/C30</f>
        <v>1131.5116066532626</v>
      </c>
      <c r="D32" s="11">
        <f>108460/62.87</f>
        <v>1725.1471289963417</v>
      </c>
      <c r="E32" s="11">
        <f>50240/E30</f>
        <v>1381.7381738173817</v>
      </c>
      <c r="F32" s="11">
        <f>62093/F30</f>
        <v>1512.9873294346978</v>
      </c>
      <c r="G32" s="11">
        <f>45048/G30</f>
        <v>1258.6756077116513</v>
      </c>
    </row>
    <row r="33" spans="1:7" ht="19.5" customHeight="1">
      <c r="A33" s="19" t="s">
        <v>15</v>
      </c>
      <c r="B33" s="5" t="s">
        <v>2</v>
      </c>
      <c r="C33" s="15">
        <v>20.05</v>
      </c>
      <c r="D33" s="15">
        <v>45</v>
      </c>
      <c r="E33" s="15">
        <v>45</v>
      </c>
      <c r="F33" s="15">
        <f>1560/100</f>
        <v>15.6</v>
      </c>
      <c r="G33" s="15">
        <f>1986/100</f>
        <v>19.86</v>
      </c>
    </row>
    <row r="34" spans="1:7" ht="19.5" customHeight="1">
      <c r="A34" s="20"/>
      <c r="B34" s="6" t="s">
        <v>4</v>
      </c>
      <c r="C34" s="13">
        <v>77.11</v>
      </c>
      <c r="D34" s="13">
        <v>144.69999999999999</v>
      </c>
      <c r="E34" s="13">
        <v>144.69999999999999</v>
      </c>
      <c r="F34" s="13">
        <f>65494/1000</f>
        <v>65.494</v>
      </c>
      <c r="G34" s="13">
        <f>67116/1000</f>
        <v>67.116</v>
      </c>
    </row>
    <row r="35" spans="1:7" ht="19.5" customHeight="1">
      <c r="A35" s="21"/>
      <c r="B35" s="7" t="s">
        <v>5</v>
      </c>
      <c r="C35" s="16">
        <f>77110/C33</f>
        <v>3845.8852867830424</v>
      </c>
      <c r="D35" s="16">
        <f>144700/45</f>
        <v>3215.5555555555557</v>
      </c>
      <c r="E35" s="16">
        <f>144700/45</f>
        <v>3215.5555555555557</v>
      </c>
      <c r="F35" s="16">
        <f>65494/F33</f>
        <v>4198.333333333333</v>
      </c>
      <c r="G35" s="16">
        <f>67116/G33</f>
        <v>3379.4561933534742</v>
      </c>
    </row>
    <row r="36" spans="1:7" ht="19.5" customHeight="1">
      <c r="A36" s="19" t="s">
        <v>16</v>
      </c>
      <c r="B36" s="5" t="s">
        <v>2</v>
      </c>
      <c r="C36" s="12" t="s">
        <v>3</v>
      </c>
      <c r="D36" s="12" t="s">
        <v>3</v>
      </c>
      <c r="E36" s="12" t="s">
        <v>3</v>
      </c>
      <c r="F36" s="12" t="s">
        <v>3</v>
      </c>
      <c r="G36" s="12" t="s">
        <v>3</v>
      </c>
    </row>
    <row r="37" spans="1:7" ht="19.5" customHeight="1">
      <c r="A37" s="20"/>
      <c r="B37" s="6" t="s">
        <v>4</v>
      </c>
      <c r="C37" s="13">
        <v>410.18</v>
      </c>
      <c r="D37" s="13" t="s">
        <v>3</v>
      </c>
      <c r="E37" s="13" t="s">
        <v>3</v>
      </c>
      <c r="F37" s="13">
        <f>230845/1000</f>
        <v>230.845</v>
      </c>
      <c r="G37" s="13">
        <f>184815/1000</f>
        <v>184.815</v>
      </c>
    </row>
    <row r="38" spans="1:7" ht="19.5" customHeight="1">
      <c r="A38" s="21"/>
      <c r="B38" s="7" t="s">
        <v>5</v>
      </c>
      <c r="C38" s="10" t="s">
        <v>3</v>
      </c>
      <c r="D38" s="10" t="s">
        <v>3</v>
      </c>
      <c r="E38" s="10" t="s">
        <v>3</v>
      </c>
      <c r="F38" s="17" t="s">
        <v>3</v>
      </c>
      <c r="G38" s="10" t="s">
        <v>3</v>
      </c>
    </row>
    <row r="39" spans="1:7" ht="19.5" customHeight="1">
      <c r="A39" s="19" t="s">
        <v>17</v>
      </c>
      <c r="B39" s="5" t="s">
        <v>2</v>
      </c>
      <c r="C39" s="14">
        <v>151.53</v>
      </c>
      <c r="D39" s="14">
        <v>152.75</v>
      </c>
      <c r="E39" s="14">
        <v>152.75</v>
      </c>
      <c r="F39" s="14" t="s">
        <v>3</v>
      </c>
      <c r="G39" s="14">
        <f>8400/100</f>
        <v>84</v>
      </c>
    </row>
    <row r="40" spans="1:7" ht="19.5" customHeight="1">
      <c r="A40" s="20"/>
      <c r="B40" s="6" t="s">
        <v>4</v>
      </c>
      <c r="C40" s="13">
        <v>97.85</v>
      </c>
      <c r="D40" s="13">
        <v>123.82</v>
      </c>
      <c r="E40" s="13">
        <v>123.82</v>
      </c>
      <c r="F40" s="13" t="s">
        <v>3</v>
      </c>
      <c r="G40" s="13">
        <f>67410/1000</f>
        <v>67.41</v>
      </c>
    </row>
    <row r="41" spans="1:7" ht="19.5" customHeight="1">
      <c r="A41" s="21"/>
      <c r="B41" s="7" t="s">
        <v>5</v>
      </c>
      <c r="C41" s="11">
        <f>97850/C39</f>
        <v>645.74671682175142</v>
      </c>
      <c r="D41" s="11">
        <f>123820/152.75</f>
        <v>810.60556464811782</v>
      </c>
      <c r="E41" s="11">
        <f>123820/152.75</f>
        <v>810.60556464811782</v>
      </c>
      <c r="F41" s="18" t="s">
        <v>3</v>
      </c>
      <c r="G41" s="11">
        <f>67410/G39</f>
        <v>802.5</v>
      </c>
    </row>
    <row r="42" spans="1:7" ht="19.5" customHeight="1">
      <c r="A42" s="19" t="s">
        <v>18</v>
      </c>
      <c r="B42" s="5" t="s">
        <v>2</v>
      </c>
      <c r="C42" s="14">
        <v>198.74</v>
      </c>
      <c r="D42" s="14">
        <v>127.02</v>
      </c>
      <c r="E42" s="14">
        <v>89.22</v>
      </c>
      <c r="F42" s="13">
        <f>7642/100</f>
        <v>76.42</v>
      </c>
      <c r="G42" s="14">
        <f>5896/100</f>
        <v>58.96</v>
      </c>
    </row>
    <row r="43" spans="1:7" ht="19.5" customHeight="1">
      <c r="A43" s="20"/>
      <c r="B43" s="6" t="s">
        <v>4</v>
      </c>
      <c r="C43" s="13">
        <v>58.79</v>
      </c>
      <c r="D43" s="13">
        <v>24.58</v>
      </c>
      <c r="E43" s="13">
        <v>18.41</v>
      </c>
      <c r="F43" s="13">
        <f>20097/1000</f>
        <v>20.097000000000001</v>
      </c>
      <c r="G43" s="13">
        <f>13415/1000</f>
        <v>13.414999999999999</v>
      </c>
    </row>
    <row r="44" spans="1:7" ht="19.5" customHeight="1">
      <c r="A44" s="21"/>
      <c r="B44" s="7" t="s">
        <v>5</v>
      </c>
      <c r="C44" s="11">
        <f>58790/C42</f>
        <v>295.8136258428097</v>
      </c>
      <c r="D44" s="11">
        <v>194</v>
      </c>
      <c r="E44" s="11">
        <f>18410/E42</f>
        <v>206.3438690876485</v>
      </c>
      <c r="F44" s="11">
        <f>20097/F42</f>
        <v>262.9808950536509</v>
      </c>
      <c r="G44" s="11">
        <f>13415/G42</f>
        <v>227.52713704206241</v>
      </c>
    </row>
    <row r="45" spans="1:7" ht="19.5" customHeight="1">
      <c r="A45" s="19" t="s">
        <v>19</v>
      </c>
      <c r="B45" s="5" t="s">
        <v>2</v>
      </c>
      <c r="C45" s="14">
        <v>28.13</v>
      </c>
      <c r="D45" s="14">
        <v>21.27</v>
      </c>
      <c r="E45" s="14">
        <v>408.04</v>
      </c>
      <c r="F45" s="14">
        <f>1020/100</f>
        <v>10.199999999999999</v>
      </c>
      <c r="G45" s="14" t="s">
        <v>3</v>
      </c>
    </row>
    <row r="46" spans="1:7" ht="19.5" customHeight="1">
      <c r="A46" s="20"/>
      <c r="B46" s="6" t="s">
        <v>4</v>
      </c>
      <c r="C46" s="13">
        <v>7.18</v>
      </c>
      <c r="D46" s="13">
        <v>3.41</v>
      </c>
      <c r="E46" s="13">
        <v>108.07</v>
      </c>
      <c r="F46" s="13">
        <f>2260/1000</f>
        <v>2.2599999999999998</v>
      </c>
      <c r="G46" s="13" t="s">
        <v>3</v>
      </c>
    </row>
    <row r="47" spans="1:7" ht="19.5" customHeight="1">
      <c r="A47" s="21"/>
      <c r="B47" s="7" t="s">
        <v>5</v>
      </c>
      <c r="C47" s="11">
        <f>7180/C45</f>
        <v>255.24351226448633</v>
      </c>
      <c r="D47" s="11">
        <f>3410/D45</f>
        <v>160.31969910672308</v>
      </c>
      <c r="E47" s="11">
        <f>108070/E45</f>
        <v>264.85148514851483</v>
      </c>
      <c r="F47" s="11">
        <f>2260/F45</f>
        <v>221.56862745098042</v>
      </c>
      <c r="G47" s="11" t="s">
        <v>3</v>
      </c>
    </row>
    <row r="48" spans="1:7">
      <c r="A48" s="8" t="s">
        <v>21</v>
      </c>
      <c r="B48" s="2"/>
    </row>
  </sheetData>
  <mergeCells count="16">
    <mergeCell ref="A15:A17"/>
    <mergeCell ref="A2:B2"/>
    <mergeCell ref="A3:A5"/>
    <mergeCell ref="A6:A8"/>
    <mergeCell ref="A9:A11"/>
    <mergeCell ref="A12:A14"/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</mergeCells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2016-12-23T14:44:18Z</dcterms:created>
  <dcterms:modified xsi:type="dcterms:W3CDTF">2025-06-22T16:21:19Z</dcterms:modified>
</cp:coreProperties>
</file>