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PC\Desktop\Data collection 2022\Completed\5. Agriculture &amp; Livestock\"/>
    </mc:Choice>
  </mc:AlternateContent>
  <xr:revisionPtr revIDLastSave="0" documentId="13_ncr:1_{994C90A3-F72E-4CB1-A0F0-4DBC3BB2B732}" xr6:coauthVersionLast="47" xr6:coauthVersionMax="47" xr10:uidLastSave="{00000000-0000-0000-0000-000000000000}"/>
  <bookViews>
    <workbookView xWindow="130" yWindow="380" windowWidth="19070" windowHeight="10070" activeTab="1" xr2:uid="{00000000-000D-0000-FFFF-FFFF00000000}"/>
  </bookViews>
  <sheets>
    <sheet name="Table 5.1" sheetId="1" r:id="rId1"/>
    <sheet name="Table 5.2" sheetId="2" r:id="rId2"/>
    <sheet name="Table 5.3" sheetId="3" r:id="rId3"/>
    <sheet name="Table 5.4" sheetId="4" r:id="rId4"/>
    <sheet name="Table 5.5" sheetId="5" r:id="rId5"/>
    <sheet name="Table 5.6" sheetId="6" r:id="rId6"/>
    <sheet name="Table 5.7" sheetId="7" r:id="rId7"/>
    <sheet name="Table 5.8" sheetId="8" r:id="rId8"/>
    <sheet name="Table 5.9" sheetId="9" r:id="rId9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G35" i="9"/>
  <c r="F38" i="8"/>
  <c r="F14" i="8"/>
  <c r="F34" i="8"/>
  <c r="F42" i="8"/>
  <c r="F26" i="8"/>
  <c r="F18" i="8"/>
  <c r="F22" i="8"/>
  <c r="G12" i="9"/>
  <c r="G45" i="9"/>
  <c r="F10" i="8"/>
  <c r="F30" i="8"/>
  <c r="F6" i="8"/>
  <c r="G18" i="9"/>
  <c r="G9" i="9"/>
  <c r="G6" i="9"/>
  <c r="G32" i="9"/>
  <c r="G15" i="9"/>
  <c r="G21" i="9"/>
  <c r="G39" i="9"/>
  <c r="G27" i="9"/>
  <c r="G24" i="9"/>
  <c r="G42" i="9"/>
  <c r="G11" i="3"/>
  <c r="G12" i="3" s="1"/>
  <c r="G10" i="3"/>
  <c r="G20" i="3"/>
  <c r="G21" i="3" s="1"/>
  <c r="G8" i="3"/>
  <c r="G9" i="3" s="1"/>
  <c r="G17" i="3"/>
  <c r="G18" i="3" s="1"/>
  <c r="G5" i="3"/>
  <c r="G6" i="3" s="1"/>
  <c r="G14" i="3"/>
  <c r="G15" i="3" s="1"/>
  <c r="F45" i="9"/>
  <c r="F42" i="9"/>
  <c r="F18" i="9"/>
  <c r="F6" i="9"/>
  <c r="F12" i="9"/>
  <c r="F9" i="9"/>
  <c r="F39" i="9"/>
  <c r="F32" i="9"/>
  <c r="F35" i="9"/>
  <c r="F15" i="9"/>
  <c r="F21" i="9"/>
  <c r="F27" i="9"/>
  <c r="F24" i="9"/>
  <c r="E34" i="8"/>
  <c r="E26" i="8"/>
  <c r="E42" i="8"/>
  <c r="E22" i="8"/>
  <c r="E18" i="8"/>
  <c r="E14" i="8"/>
  <c r="E10" i="8"/>
  <c r="E38" i="8"/>
  <c r="E30" i="8"/>
  <c r="E6" i="8"/>
  <c r="F11" i="3"/>
  <c r="F10" i="3"/>
  <c r="F17" i="3"/>
  <c r="F18" i="3" s="1"/>
  <c r="F20" i="3"/>
  <c r="F21" i="3" s="1"/>
  <c r="F8" i="3"/>
  <c r="F9" i="3" s="1"/>
  <c r="F5" i="3"/>
  <c r="F6" i="3" s="1"/>
  <c r="F14" i="3"/>
  <c r="F15" i="3" s="1"/>
  <c r="E45" i="9"/>
  <c r="E42" i="9"/>
  <c r="E18" i="9"/>
  <c r="E39" i="9"/>
  <c r="E32" i="9"/>
  <c r="E35" i="9"/>
  <c r="E15" i="9"/>
  <c r="E6" i="9"/>
  <c r="E12" i="9"/>
  <c r="E9" i="9"/>
  <c r="E21" i="9"/>
  <c r="E27" i="9"/>
  <c r="E24" i="9"/>
  <c r="D30" i="8"/>
  <c r="D38" i="8"/>
  <c r="D14" i="8"/>
  <c r="D10" i="8"/>
  <c r="D34" i="8"/>
  <c r="D42" i="8"/>
  <c r="D26" i="8"/>
  <c r="D18" i="8"/>
  <c r="D22" i="8"/>
  <c r="D6" i="8"/>
  <c r="E11" i="3"/>
  <c r="E10" i="3"/>
  <c r="E20" i="3"/>
  <c r="E21" i="3" s="1"/>
  <c r="E18" i="3"/>
  <c r="E17" i="3"/>
  <c r="E8" i="3"/>
  <c r="E9" i="3" s="1"/>
  <c r="E5" i="3"/>
  <c r="E6" i="3" s="1"/>
  <c r="E14" i="3"/>
  <c r="E15" i="3" s="1"/>
  <c r="F15" i="7"/>
  <c r="F14" i="7"/>
  <c r="F11" i="7"/>
  <c r="F10" i="7"/>
  <c r="F9" i="7"/>
  <c r="F6" i="7"/>
  <c r="F5" i="7"/>
  <c r="F4" i="7"/>
  <c r="D11" i="3"/>
  <c r="D10" i="3"/>
  <c r="D45" i="9"/>
  <c r="D42" i="9"/>
  <c r="D39" i="9"/>
  <c r="D35" i="9"/>
  <c r="D32" i="9"/>
  <c r="D27" i="9"/>
  <c r="D24" i="9"/>
  <c r="D21" i="9"/>
  <c r="D18" i="9"/>
  <c r="D15" i="9"/>
  <c r="D12" i="9"/>
  <c r="D9" i="9"/>
  <c r="D6" i="9"/>
  <c r="C42" i="8"/>
  <c r="C38" i="8"/>
  <c r="C34" i="8"/>
  <c r="C30" i="8"/>
  <c r="C26" i="8"/>
  <c r="C22" i="8"/>
  <c r="C18" i="8"/>
  <c r="C14" i="8"/>
  <c r="C10" i="8"/>
  <c r="C6" i="8"/>
  <c r="D20" i="3"/>
  <c r="D21" i="3" s="1"/>
  <c r="D17" i="3"/>
  <c r="D18" i="3" s="1"/>
  <c r="D8" i="3"/>
  <c r="D9" i="3" s="1"/>
  <c r="D5" i="3"/>
  <c r="D6" i="3" s="1"/>
  <c r="D14" i="3"/>
  <c r="D15" i="3" s="1"/>
  <c r="E15" i="5"/>
  <c r="D15" i="5"/>
  <c r="D11" i="5"/>
  <c r="E10" i="5"/>
  <c r="E9" i="5"/>
  <c r="E11" i="5" l="1"/>
  <c r="D7" i="1"/>
  <c r="E12" i="3"/>
  <c r="F12" i="3"/>
  <c r="D1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B1" authorId="0" shapeId="0" xr:uid="{C37606A3-38F9-4A7D-9274-A4B5ED140F18}">
      <text>
        <r>
          <rPr>
            <b/>
            <sz val="9"/>
            <color indexed="81"/>
            <rFont val="Tahoma"/>
            <family val="2"/>
          </rPr>
          <t xml:space="preserve">Workbooks:_x000D_
Section 12 Agriculure.xls_x000D_
Worksheets:_x000D_
Section 12.2_x000D_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A1" authorId="0" shapeId="0" xr:uid="{387E62B6-8624-42EB-90A0-CE0D9602CFD9}">
      <text>
        <r>
          <rPr>
            <b/>
            <sz val="9"/>
            <color indexed="81"/>
            <rFont val="Tahoma"/>
            <family val="2"/>
          </rPr>
          <t xml:space="preserve">Workbooks:_x000D_
Section 12 Agriculure.xls_x000D_
Worksheets:_x000D_
Section 12.1_x000D_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A1" authorId="0" shapeId="0" xr:uid="{32669520-1C0B-458A-A35F-0CE1400AF398}">
      <text>
        <r>
          <rPr>
            <b/>
            <sz val="9"/>
            <color indexed="81"/>
            <rFont val="Tahoma"/>
            <family val="2"/>
          </rPr>
          <t xml:space="preserve">Workbooks:_x000D_
Section 12 Agriculure.xls_x000D_
Worksheets:_x000D_
Section 12.3_x000D_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A1" authorId="0" shapeId="0" xr:uid="{E7B57C6F-8D7E-484C-82F8-8BC8E0ED209B}">
      <text>
        <r>
          <rPr>
            <b/>
            <sz val="9"/>
            <color indexed="81"/>
            <rFont val="Tahoma"/>
            <family val="2"/>
          </rPr>
          <t xml:space="preserve">Workbooks:_x000D_
Section 12 Agriculure.xls_x000D_
Worksheets:_x000D_
Section 12.5_x000D_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B1" authorId="0" shapeId="0" xr:uid="{C0798EC0-B460-4C1D-9F5E-1A0DE7EA0354}">
      <text>
        <r>
          <rPr>
            <b/>
            <sz val="9"/>
            <color indexed="81"/>
            <rFont val="Tahoma"/>
            <family val="2"/>
          </rPr>
          <t xml:space="preserve">Workbooks:_x000D_
Section 12 Agriculure.xls_x000D_
Worksheets:_x000D_
Section 12.7_x000D_
</t>
        </r>
      </text>
    </comment>
  </commentList>
</comments>
</file>

<file path=xl/sharedStrings.xml><?xml version="1.0" encoding="utf-8"?>
<sst xmlns="http://schemas.openxmlformats.org/spreadsheetml/2006/main" count="493" uniqueCount="236">
  <si>
    <t>Table 5.1:  Agriculture Land Holdings by Type, Pema Gatshel</t>
  </si>
  <si>
    <t>(Hectares)</t>
  </si>
  <si>
    <t>Land holding</t>
  </si>
  <si>
    <t>Wet land</t>
  </si>
  <si>
    <t>Dry land</t>
  </si>
  <si>
    <t>Orchad</t>
  </si>
  <si>
    <t>Total area</t>
  </si>
  <si>
    <t>Source:  Agriculture Statistics 2017, MoAF, Thimphu</t>
  </si>
  <si>
    <t>(Number)</t>
  </si>
  <si>
    <t>Details</t>
  </si>
  <si>
    <t>2013/14</t>
  </si>
  <si>
    <t>2014/15</t>
  </si>
  <si>
    <t>2015/16</t>
  </si>
  <si>
    <t>2016/17</t>
  </si>
  <si>
    <t>2017/18</t>
  </si>
  <si>
    <t>RNR centres</t>
  </si>
  <si>
    <t>Agriculture Extension Centres</t>
  </si>
  <si>
    <t>Livestock Extension Centres</t>
  </si>
  <si>
    <t>Poultry farms (group)</t>
  </si>
  <si>
    <t>Fishery farms (group)</t>
  </si>
  <si>
    <t>Piggery farms (group)</t>
  </si>
  <si>
    <t>Functional Irrigation channels</t>
  </si>
  <si>
    <t>Non-Functional Irrigation channels</t>
  </si>
  <si>
    <t>…</t>
  </si>
  <si>
    <t>Total length of channels (km)</t>
  </si>
  <si>
    <t>Area covered by irrigation  (acres)</t>
  </si>
  <si>
    <t>Number of households benefitted by irrigation</t>
  </si>
  <si>
    <t>Number of food processing units</t>
  </si>
  <si>
    <t>Number of livestock product processing units(milk)</t>
  </si>
  <si>
    <t>Number of power tillers</t>
  </si>
  <si>
    <r>
      <t xml:space="preserve"> </t>
    </r>
    <r>
      <rPr>
        <vertAlign val="superscript"/>
        <sz val="11"/>
        <color indexed="8"/>
        <rFont val="Calibri Light"/>
        <family val="2"/>
      </rPr>
      <t xml:space="preserve">1 </t>
    </r>
    <r>
      <rPr>
        <sz val="11"/>
        <color indexed="8"/>
        <rFont val="Calibri Light"/>
        <family val="2"/>
      </rPr>
      <t>Including traditional mills</t>
    </r>
  </si>
  <si>
    <t xml:space="preserve">Source: Dzongkhag Agriculture &amp; Livestock Sector, Pema Gatshel </t>
  </si>
  <si>
    <t>Crop/Productions</t>
  </si>
  <si>
    <t>Wheat</t>
  </si>
  <si>
    <t>Area (Acres)</t>
  </si>
  <si>
    <t>Production (Kg)</t>
  </si>
  <si>
    <t>Yield (Kg/Acre)</t>
  </si>
  <si>
    <t>Barley</t>
  </si>
  <si>
    <t>Maize</t>
  </si>
  <si>
    <t>Buckwheat</t>
  </si>
  <si>
    <t>Millet</t>
  </si>
  <si>
    <t>Sl. No</t>
  </si>
  <si>
    <t>Farmers' Group/Associations/Cooperatives</t>
  </si>
  <si>
    <t>Number</t>
  </si>
  <si>
    <t xml:space="preserve">Year Registered </t>
  </si>
  <si>
    <t>Remarks</t>
  </si>
  <si>
    <t>Bartseri Gonor Chuethen Group</t>
  </si>
  <si>
    <t xml:space="preserve">Livestock </t>
  </si>
  <si>
    <t>Yurung Sonam &amp; Gonor Gongphel Group</t>
  </si>
  <si>
    <t xml:space="preserve">Tshebar Gonor Gongphel  Group </t>
  </si>
  <si>
    <t xml:space="preserve">Tshelinggor Gonor Chuethen Group </t>
  </si>
  <si>
    <t>Nanglam Gonor Gongphel Group</t>
  </si>
  <si>
    <t>Redzemo Jersey Gongphel Group</t>
  </si>
  <si>
    <t>Nganglam Pipla management group</t>
  </si>
  <si>
    <t xml:space="preserve">Forestry Production </t>
  </si>
  <si>
    <t xml:space="preserve">Chokhorling Pipla Collection Group </t>
  </si>
  <si>
    <t>Kulamanti Pipla Collection Group</t>
  </si>
  <si>
    <t xml:space="preserve">Dagor Shingmen Gongphel Nagtshel Tshogpa </t>
  </si>
  <si>
    <t>Woongchiloo Chigthuen Tshogpa</t>
  </si>
  <si>
    <t xml:space="preserve">Tokari Shingmen Tshogpa </t>
  </si>
  <si>
    <t xml:space="preserve">Yarjeywoong NWFP collection group </t>
  </si>
  <si>
    <t xml:space="preserve">Kerong Rubia management group </t>
  </si>
  <si>
    <t xml:space="preserve">Gonpung Nyamdrup Tshokpa </t>
  </si>
  <si>
    <t>Chimung Gongphel Shingmen Thoenkye Tshogpa</t>
  </si>
  <si>
    <t xml:space="preserve">Gamung Phuensum Gongphel Tshokpa </t>
  </si>
  <si>
    <t xml:space="preserve">Khengzore NWFP group </t>
  </si>
  <si>
    <t>Chimung Meday Detshen</t>
  </si>
  <si>
    <t>2012-2013</t>
  </si>
  <si>
    <t>Agriculture</t>
  </si>
  <si>
    <t>Sonam Yarphel Detshen</t>
  </si>
  <si>
    <t>Mandi-Thongsa Farm Road User Group</t>
  </si>
  <si>
    <t>2011-2012</t>
  </si>
  <si>
    <t>Rezimo Chiwog Sonam Gongphel Tshogpa</t>
  </si>
  <si>
    <t>2010-2011</t>
  </si>
  <si>
    <t>Shingchongre Baysem Nyenrel Tshogpa</t>
  </si>
  <si>
    <t>Gonpawog Tshesay Tshogpa</t>
  </si>
  <si>
    <t>Tokari Momtse Tshogpa</t>
  </si>
  <si>
    <t>Bara Gonpa  Momtse Tshogpa</t>
  </si>
  <si>
    <t>Taephu Momtse Tshogpa</t>
  </si>
  <si>
    <t>Wongchilu Momtse Tshogpa</t>
  </si>
  <si>
    <t>Wooliktang Momtse Tshogpa</t>
  </si>
  <si>
    <t>Nanong Vegetable Group</t>
  </si>
  <si>
    <t>Khenadang-Yelchen</t>
  </si>
  <si>
    <t>Ngangshing-Wongcxhilo</t>
  </si>
  <si>
    <t>Satsalo Vegetable Group</t>
  </si>
  <si>
    <t>Menchu Vegetable Group</t>
  </si>
  <si>
    <t>Vegetable production</t>
  </si>
  <si>
    <t>2016-2017</t>
  </si>
  <si>
    <t>Nazhoen Sonam Sazhi
 Chechong Tshogpa</t>
  </si>
  <si>
    <t>2017-2018</t>
  </si>
  <si>
    <t>Sachanglo_Menchu RUG</t>
  </si>
  <si>
    <t>Abashing_Gashare RUG</t>
  </si>
  <si>
    <t>Ningshingborang_Phudazashing RUG</t>
  </si>
  <si>
    <t>Borangmo RUG</t>
  </si>
  <si>
    <t>Dorjijadam_Norbugang RUG</t>
  </si>
  <si>
    <t>Rinchenthang_Tenzinma RUG</t>
  </si>
  <si>
    <t>Benjare RUG</t>
  </si>
  <si>
    <t>Tshelshingzor_Tingtingtsho RUG</t>
  </si>
  <si>
    <t>Menchu_Menchugoenpa RUG</t>
  </si>
  <si>
    <t>Ningshingborang_Rangthangwong RUG</t>
  </si>
  <si>
    <t>Zumpheree_Tekalung RUG</t>
  </si>
  <si>
    <t>WUA for Tenzinma irrigation channel</t>
  </si>
  <si>
    <t>WUA for Tekalung irrigation channel</t>
  </si>
  <si>
    <t>Yallang Momtse Tshogpa</t>
  </si>
  <si>
    <t>Dungsam Gongphel Sonam Tshogpa</t>
  </si>
  <si>
    <t>Nangkhor Silo Group</t>
  </si>
  <si>
    <t>Nangkhor Momtse Tshogpa</t>
  </si>
  <si>
    <t>Shumer Momtse Tshogpa</t>
  </si>
  <si>
    <t>Bartseri Momtse Tshogpa</t>
  </si>
  <si>
    <t>Khoray Pam</t>
  </si>
  <si>
    <t>Dagor Rajma Bean Group</t>
  </si>
  <si>
    <t>Farm road</t>
  </si>
  <si>
    <t>Shali-Gamung Farm Road User Group</t>
  </si>
  <si>
    <t>Gonpong Farm Road user Group</t>
  </si>
  <si>
    <t>2007-2008</t>
  </si>
  <si>
    <t>Yurung Sonam Yargay Detshen</t>
  </si>
  <si>
    <t>Khangma Saga Detshen</t>
  </si>
  <si>
    <t>Khangma Badam Detshen</t>
  </si>
  <si>
    <t>Khangma Momsey Detshen</t>
  </si>
  <si>
    <t xml:space="preserve"> January, 2018</t>
  </si>
  <si>
    <t>Gangrig Sonam Gongphel Detshen</t>
  </si>
  <si>
    <t xml:space="preserve"> January, 2019</t>
  </si>
  <si>
    <t>Gypkha-Porila Sonam Zhinglam Detshen</t>
  </si>
  <si>
    <t>March, 2017</t>
  </si>
  <si>
    <t>Yuesum Detshen</t>
  </si>
  <si>
    <t>May, 2018</t>
  </si>
  <si>
    <t>Lhawoong Kuenphen Detshen</t>
  </si>
  <si>
    <t>Khangma Khorlam Thsogpa</t>
  </si>
  <si>
    <t>Bainangshing Momtse Tshogpa</t>
  </si>
  <si>
    <t>Lengpey Momtse Tshogpa</t>
  </si>
  <si>
    <t>Zobel Momtse Tsogpa</t>
  </si>
  <si>
    <t>Mann Tsetshey Detshen</t>
  </si>
  <si>
    <t>TshelingkhorTsetshey Detshen</t>
  </si>
  <si>
    <t>Pangthang Tsetshey Detshen</t>
  </si>
  <si>
    <t>PathangdazaTsetshey Detshen</t>
  </si>
  <si>
    <t>Shumar Juk Tsetshey Detshen</t>
  </si>
  <si>
    <t>Resinang Tsetshey Detshen</t>
  </si>
  <si>
    <t>2008-2009</t>
  </si>
  <si>
    <t>Ngangmalang Bachok Tsetshey Detshen</t>
  </si>
  <si>
    <t>Gonpa singma-Ngangmalam</t>
  </si>
  <si>
    <t>2010-2012</t>
  </si>
  <si>
    <t>Ngangshing-Tshelingkhor</t>
  </si>
  <si>
    <t>2009-2010</t>
  </si>
  <si>
    <t>Zobel-Lengpeg</t>
  </si>
  <si>
    <t>2014-2015</t>
  </si>
  <si>
    <t>Ngorkhe-Bainangtshing</t>
  </si>
  <si>
    <t>Source: Livestock, Agriculture &amp; Forestry Sector, Pema Gatshel</t>
  </si>
  <si>
    <r>
      <t>Table 5.5: Farmers' Training Provided by RNR Sectors and DAMC,</t>
    </r>
    <r>
      <rPr>
        <b/>
        <sz val="12"/>
        <color indexed="8"/>
        <rFont val="Calibri Light"/>
        <family val="2"/>
      </rPr>
      <t xml:space="preserve">  Pema Gatshel (2012-2017)</t>
    </r>
  </si>
  <si>
    <t>Sectors/sex</t>
  </si>
  <si>
    <t>Male</t>
  </si>
  <si>
    <t>Female</t>
  </si>
  <si>
    <t>Total</t>
  </si>
  <si>
    <t>Forestry</t>
  </si>
  <si>
    <t>Livestock</t>
  </si>
  <si>
    <t xml:space="preserve">Source: Bhutan RNR Statistics, MoAF &amp; Dzongkhag  RNR Sector, Pema Gatshel </t>
  </si>
  <si>
    <t>Types</t>
  </si>
  <si>
    <t>Cattle</t>
  </si>
  <si>
    <t>Yak</t>
  </si>
  <si>
    <t>Buffalo</t>
  </si>
  <si>
    <t>Zo/Zom</t>
  </si>
  <si>
    <t>Equine</t>
  </si>
  <si>
    <t>Pig</t>
  </si>
  <si>
    <t>Poultry</t>
  </si>
  <si>
    <t>Sheep</t>
  </si>
  <si>
    <t>Goat</t>
  </si>
  <si>
    <t>Cat</t>
  </si>
  <si>
    <t>Dog</t>
  </si>
  <si>
    <t>Livestock products</t>
  </si>
  <si>
    <t>Dried Cheese (Chugu)</t>
  </si>
  <si>
    <t>Honey (liters)</t>
  </si>
  <si>
    <t>Major fruits/Productions</t>
  </si>
  <si>
    <t>Apple</t>
  </si>
  <si>
    <t>Total Trees</t>
  </si>
  <si>
    <t>Bearing Trees</t>
  </si>
  <si>
    <t>Production (MT)</t>
  </si>
  <si>
    <t>Yield (Kg/Bearing Tree)</t>
  </si>
  <si>
    <t>Mandarin</t>
  </si>
  <si>
    <t>Mango</t>
  </si>
  <si>
    <t>Peach</t>
  </si>
  <si>
    <t>Pear</t>
  </si>
  <si>
    <t>Plum</t>
  </si>
  <si>
    <t>Arecanut</t>
  </si>
  <si>
    <t>Walnut</t>
  </si>
  <si>
    <t>Banana</t>
  </si>
  <si>
    <t>Persimmon</t>
  </si>
  <si>
    <t>Source: Dzongkhag Agriculture Sector, Pema Gatshel</t>
  </si>
  <si>
    <t>Cardamom</t>
  </si>
  <si>
    <t>Area (acres)</t>
  </si>
  <si>
    <t>Yield (Kg/acre)</t>
  </si>
  <si>
    <t>Ginger</t>
  </si>
  <si>
    <t>Garlic</t>
  </si>
  <si>
    <t>Potato</t>
  </si>
  <si>
    <t>Chili</t>
  </si>
  <si>
    <t>Cabbage</t>
  </si>
  <si>
    <t>Cauliflower</t>
  </si>
  <si>
    <t>Green Leaves</t>
  </si>
  <si>
    <t>Raddish</t>
  </si>
  <si>
    <t>Cucumber</t>
  </si>
  <si>
    <t>Beans</t>
  </si>
  <si>
    <t>Mustard</t>
  </si>
  <si>
    <t>Soyabean</t>
  </si>
  <si>
    <t>Onion (inc shallot)</t>
  </si>
  <si>
    <t>Pumkin, Squash and Gourds</t>
  </si>
  <si>
    <t>Productions/Year</t>
  </si>
  <si>
    <t>Paddy (Irrigated and Upland)</t>
  </si>
  <si>
    <t>Butter (KG)</t>
  </si>
  <si>
    <t>Cheese (KG)</t>
  </si>
  <si>
    <t>Fresh Milk (KG)</t>
  </si>
  <si>
    <t>Eggs (No.)</t>
  </si>
  <si>
    <t>Fish (KG)</t>
  </si>
  <si>
    <t>Beef (KG)</t>
  </si>
  <si>
    <t>Pork (KG)</t>
  </si>
  <si>
    <t>Yak Meat (KG)</t>
  </si>
  <si>
    <t>Mutton (KG)</t>
  </si>
  <si>
    <t>Chicken (KG)</t>
  </si>
  <si>
    <t>Wool (KG)</t>
  </si>
  <si>
    <t>Mithun</t>
  </si>
  <si>
    <t>Source: Agriculture Statistics, Bhutan (2018, 2019, 2020, 2021)</t>
  </si>
  <si>
    <t>Table 5.2: Agriculture Infrastructures and Other Facilities,  Pema Gatshel (2013-2021)</t>
  </si>
  <si>
    <t>Table 5.3: Cultivated Area, Production and Yield of Major Crops, Pema Gatshel (2018-2021)</t>
  </si>
  <si>
    <t>Source: DzongkhagLivestock Sector, Pemagatshel</t>
  </si>
  <si>
    <t>Source: Dzongkhag Livestock Sector, Pemagatshel</t>
  </si>
  <si>
    <t xml:space="preserve">Source: Dzongkhag Agriculture Sector, Pemagatshel </t>
  </si>
  <si>
    <t>..</t>
  </si>
  <si>
    <t>….</t>
  </si>
  <si>
    <r>
      <t>Table 5.6: Livestock Population by Types,</t>
    </r>
    <r>
      <rPr>
        <b/>
        <sz val="12"/>
        <color indexed="8"/>
        <rFont val="Calibri Light"/>
        <family val="2"/>
      </rPr>
      <t xml:space="preserve">  Pema Gatshel (2017-2021)</t>
    </r>
  </si>
  <si>
    <r>
      <t xml:space="preserve">Table 5.9: Major Spices &amp; Oilseeds production, </t>
    </r>
    <r>
      <rPr>
        <b/>
        <sz val="12"/>
        <color indexed="8"/>
        <rFont val="Calibri Light"/>
        <family val="2"/>
      </rPr>
      <t xml:space="preserve"> Pema Gatshel (2017-2021)</t>
    </r>
  </si>
  <si>
    <t>Table 5.8: Number of Major Fruits and Nuts production, Pema Gatshel  (2013-2021)</t>
  </si>
  <si>
    <t xml:space="preserve">Table 5.7: Livestock Productions, Pema Gatshel (2017-2021) </t>
  </si>
  <si>
    <t>semi-commercial farms</t>
  </si>
  <si>
    <t>Table 5.4: Name of Farmers’ Group, Associations and Cooperatives Registered with DAMC,Pema Gatshel ( 2021)</t>
  </si>
  <si>
    <t>…..</t>
  </si>
  <si>
    <t>*Extension offices are included under RNR centres.</t>
  </si>
  <si>
    <t>dysfuctional as of now</t>
  </si>
  <si>
    <t>net command area</t>
  </si>
  <si>
    <t>*No trainings were provided during the year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</si>
</sst>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3" formatCode="_(* #,##0.00_);_(* \(#,##0.00\);_(* &quot;-&quot;??_);_(@_)"/>
    <numFmt numFmtId="164" formatCode="0_)"/>
    <numFmt numFmtId="165" formatCode="0.0_)"/>
    <numFmt numFmtId="166" formatCode="0.0"/>
    <numFmt numFmtId="167" formatCode="_(* #,##0_);_(* \(#,##0\);_(* &quot;-&quot;??_);_(@_)"/>
    <numFmt numFmtId="168" formatCode="#,##0.0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 light"/>
    </font>
    <font>
      <sz val="12"/>
      <color rgb="FFFF0000"/>
      <name val="Calibri light"/>
    </font>
    <font>
      <sz val="11"/>
      <color theme="1"/>
      <name val="Calibri light"/>
    </font>
    <font>
      <sz val="12"/>
      <color indexed="8"/>
      <name val="Calibri light"/>
    </font>
    <font>
      <sz val="11"/>
      <name val="Calibri light"/>
    </font>
    <font>
      <b/>
      <sz val="11"/>
      <name val="Calibri light"/>
    </font>
    <font>
      <sz val="12"/>
      <name val="Calibri light"/>
    </font>
    <font>
      <sz val="10"/>
      <name val="Courier"/>
      <family val="3"/>
    </font>
    <font>
      <b/>
      <sz val="9"/>
      <color indexed="81"/>
      <name val="Tahoma"/>
      <family val="2"/>
    </font>
    <font>
      <b/>
      <sz val="12"/>
      <name val="Calibri Light"/>
      <family val="2"/>
    </font>
    <font>
      <sz val="12"/>
      <color indexed="8"/>
      <name val="Calibri Light"/>
      <family val="2"/>
    </font>
    <font>
      <sz val="11"/>
      <color indexed="8"/>
      <name val="Calibri Light"/>
      <family val="2"/>
    </font>
    <font>
      <b/>
      <sz val="12"/>
      <color indexed="8"/>
      <name val="Calibri Light"/>
      <family val="2"/>
    </font>
    <font>
      <sz val="12"/>
      <color theme="1"/>
      <name val="Calibri Light"/>
      <family val="2"/>
    </font>
    <font>
      <sz val="12"/>
      <name val="Calibri Light"/>
      <family val="2"/>
    </font>
    <font>
      <vertAlign val="superscript"/>
      <sz val="11"/>
      <color indexed="8"/>
      <name val="Calibri Light"/>
      <family val="2"/>
    </font>
    <font>
      <sz val="11"/>
      <name val="Calibri Light"/>
      <family val="2"/>
    </font>
    <font>
      <b/>
      <sz val="12"/>
      <name val="Calibri Light"/>
      <family val="2"/>
      <scheme val="major"/>
    </font>
    <font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12"/>
      <color theme="1"/>
      <name val="Calibri Light"/>
      <family val="2"/>
    </font>
    <font>
      <sz val="12"/>
      <name val="Calibri Light"/>
      <family val="2"/>
      <scheme val="major"/>
    </font>
    <font>
      <sz val="11"/>
      <name val="Calibri Light"/>
      <family val="2"/>
      <scheme val="major"/>
    </font>
    <font>
      <b/>
      <sz val="12"/>
      <color indexed="8"/>
      <name val="Calibri Light"/>
      <scheme val="major"/>
    </font>
    <font>
      <b/>
      <sz val="12"/>
      <color theme="1"/>
      <name val="Calibri Light"/>
      <scheme val="major"/>
    </font>
    <font>
      <sz val="12"/>
      <color indexed="8"/>
      <name val="Courier New"/>
      <family val="3"/>
    </font>
    <font>
      <sz val="12"/>
      <color rgb="FF000000"/>
      <name val="Calibri Light"/>
      <family val="2"/>
      <scheme val="major"/>
    </font>
    <font>
      <sz val="12"/>
      <color theme="1"/>
      <name val="Courier New"/>
      <family val="3"/>
    </font>
    <font>
      <sz val="12"/>
      <color theme="1"/>
      <name val="Calibri Light"/>
    </font>
    <font>
      <sz val="12"/>
      <color rgb="FF000000"/>
      <name val="Calibri Light"/>
      <family val="2"/>
    </font>
    <font>
      <sz val="12"/>
      <color rgb="FF000000"/>
      <name val="Times New Roman"/>
      <family val="1"/>
    </font>
    <font>
      <sz val="11"/>
      <color theme="1"/>
      <name val="Calibri Light"/>
      <family val="2"/>
    </font>
    <font>
      <sz val="12"/>
      <color theme="1"/>
      <name val="Times New Roman"/>
      <family val="1"/>
    </font>
    <font>
      <sz val="11"/>
      <color theme="1"/>
      <name val="Arial"/>
      <family val="2"/>
    </font>
    <font>
      <sz val="11"/>
      <color theme="1"/>
      <name val="Arial"/>
    </font>
    <font>
      <b/>
      <sz val="11"/>
      <color indexed="8"/>
      <name val="Calibri Light"/>
      <family val="2"/>
    </font>
    <font>
      <b/>
      <sz val="12"/>
      <color rgb="FFFF0000"/>
      <name val="Calibri Light"/>
      <family val="2"/>
      <scheme val="major"/>
    </font>
    <font>
      <b/>
      <sz val="11"/>
      <color theme="1"/>
      <name val="Calibri light"/>
      <family val="2"/>
    </font>
    <font>
      <b/>
      <sz val="11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0" fillId="0" borderId="0"/>
    <xf numFmtId="0" fontId="40" fillId="0" borderId="0"/>
    <xf numFmtId="0" fontId="41" fillId="0" borderId="0"/>
  </cellStyleXfs>
  <cellXfs count="262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165" fontId="7" fillId="0" borderId="0" xfId="2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164" fontId="9" fillId="0" borderId="5" xfId="0" applyNumberFormat="1" applyFont="1" applyBorder="1" applyAlignment="1">
      <alignment vertical="center" wrapText="1"/>
    </xf>
    <xf numFmtId="1" fontId="9" fillId="0" borderId="5" xfId="1" applyNumberFormat="1" applyFont="1" applyFill="1" applyBorder="1" applyAlignment="1" applyProtection="1">
      <alignment horizontal="right" vertical="center"/>
    </xf>
    <xf numFmtId="3" fontId="5" fillId="0" borderId="5" xfId="0" applyNumberFormat="1" applyFont="1" applyBorder="1" applyAlignment="1">
      <alignment vertical="center"/>
    </xf>
    <xf numFmtId="164" fontId="3" fillId="0" borderId="5" xfId="0" applyNumberFormat="1" applyFont="1" applyBorder="1" applyAlignment="1">
      <alignment vertical="center" wrapText="1"/>
    </xf>
    <xf numFmtId="1" fontId="3" fillId="0" borderId="5" xfId="1" applyNumberFormat="1" applyFont="1" applyFill="1" applyBorder="1" applyAlignment="1" applyProtection="1">
      <alignment horizontal="right" vertical="center"/>
    </xf>
    <xf numFmtId="0" fontId="12" fillId="0" borderId="0" xfId="0" applyFont="1" applyAlignment="1">
      <alignment horizontal="left"/>
    </xf>
    <xf numFmtId="0" fontId="13" fillId="0" borderId="0" xfId="0" applyFont="1"/>
    <xf numFmtId="0" fontId="12" fillId="0" borderId="5" xfId="0" applyFont="1" applyBorder="1" applyAlignment="1">
      <alignment vertical="center"/>
    </xf>
    <xf numFmtId="0" fontId="15" fillId="0" borderId="5" xfId="0" applyFont="1" applyBorder="1"/>
    <xf numFmtId="0" fontId="15" fillId="0" borderId="0" xfId="0" applyFont="1"/>
    <xf numFmtId="0" fontId="13" fillId="0" borderId="8" xfId="0" applyFont="1" applyBorder="1"/>
    <xf numFmtId="0" fontId="16" fillId="0" borderId="0" xfId="0" applyFont="1" applyAlignment="1">
      <alignment horizontal="right" vertical="center"/>
    </xf>
    <xf numFmtId="0" fontId="17" fillId="0" borderId="3" xfId="0" applyFont="1" applyBorder="1" applyAlignment="1">
      <alignment horizontal="left" vertical="center"/>
    </xf>
    <xf numFmtId="0" fontId="13" fillId="0" borderId="10" xfId="0" applyFont="1" applyBorder="1"/>
    <xf numFmtId="0" fontId="1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165" fontId="23" fillId="0" borderId="12" xfId="2" applyNumberFormat="1" applyFont="1" applyBorder="1" applyAlignment="1">
      <alignment vertical="center"/>
    </xf>
    <xf numFmtId="165" fontId="23" fillId="0" borderId="13" xfId="2" applyNumberFormat="1" applyFont="1" applyBorder="1" applyAlignment="1">
      <alignment vertical="center"/>
    </xf>
    <xf numFmtId="0" fontId="23" fillId="0" borderId="0" xfId="0" applyFont="1" applyAlignment="1">
      <alignment horizontal="right" vertical="center"/>
    </xf>
    <xf numFmtId="165" fontId="23" fillId="0" borderId="14" xfId="2" applyNumberFormat="1" applyFont="1" applyBorder="1" applyAlignment="1">
      <alignment vertical="center"/>
    </xf>
    <xf numFmtId="0" fontId="23" fillId="0" borderId="9" xfId="0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23" fillId="0" borderId="7" xfId="0" applyFont="1" applyBorder="1" applyAlignment="1">
      <alignment horizontal="left" vertical="center"/>
    </xf>
    <xf numFmtId="0" fontId="24" fillId="0" borderId="5" xfId="0" applyFont="1" applyBorder="1" applyAlignment="1">
      <alignment vertical="center"/>
    </xf>
    <xf numFmtId="0" fontId="22" fillId="0" borderId="5" xfId="0" applyFont="1" applyBorder="1" applyAlignment="1">
      <alignment vertical="center"/>
    </xf>
    <xf numFmtId="0" fontId="23" fillId="0" borderId="13" xfId="0" applyFont="1" applyBorder="1" applyAlignment="1">
      <alignment horizontal="left" vertical="center"/>
    </xf>
    <xf numFmtId="165" fontId="25" fillId="0" borderId="0" xfId="2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2" fillId="0" borderId="11" xfId="0" applyFont="1" applyBorder="1" applyAlignment="1">
      <alignment vertical="center"/>
    </xf>
    <xf numFmtId="0" fontId="22" fillId="0" borderId="1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3" fillId="0" borderId="13" xfId="0" applyFont="1" applyBorder="1" applyAlignment="1">
      <alignment vertical="center"/>
    </xf>
    <xf numFmtId="0" fontId="23" fillId="0" borderId="13" xfId="0" applyFont="1" applyBorder="1" applyAlignment="1">
      <alignment horizontal="left" vertical="center" indent="1"/>
    </xf>
    <xf numFmtId="0" fontId="23" fillId="0" borderId="14" xfId="0" applyFont="1" applyBorder="1" applyAlignment="1">
      <alignment horizontal="left" vertical="center" indent="1"/>
    </xf>
    <xf numFmtId="0" fontId="21" fillId="0" borderId="0" xfId="0" applyFont="1"/>
    <xf numFmtId="0" fontId="28" fillId="0" borderId="0" xfId="0" applyFont="1"/>
    <xf numFmtId="0" fontId="20" fillId="0" borderId="5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12" fillId="0" borderId="5" xfId="0" applyFont="1" applyBorder="1" applyAlignment="1">
      <alignment horizontal="left" vertical="center"/>
    </xf>
    <xf numFmtId="0" fontId="15" fillId="0" borderId="5" xfId="0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17" fillId="0" borderId="13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32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165" fontId="28" fillId="0" borderId="15" xfId="2" applyNumberFormat="1" applyFont="1" applyBorder="1" applyAlignment="1">
      <alignment vertical="center"/>
    </xf>
    <xf numFmtId="165" fontId="28" fillId="0" borderId="8" xfId="2" applyNumberFormat="1" applyFont="1" applyBorder="1" applyAlignment="1">
      <alignment vertical="center"/>
    </xf>
    <xf numFmtId="165" fontId="28" fillId="0" borderId="10" xfId="2" applyNumberFormat="1" applyFont="1" applyBorder="1" applyAlignment="1">
      <alignment vertical="center"/>
    </xf>
    <xf numFmtId="165" fontId="28" fillId="0" borderId="0" xfId="2" applyNumberFormat="1" applyFont="1" applyAlignment="1">
      <alignment vertical="center"/>
    </xf>
    <xf numFmtId="165" fontId="28" fillId="0" borderId="9" xfId="2" applyNumberFormat="1" applyFont="1" applyBorder="1" applyAlignment="1">
      <alignment vertical="center"/>
    </xf>
    <xf numFmtId="0" fontId="29" fillId="0" borderId="7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8" fillId="0" borderId="7" xfId="0" applyFont="1" applyBorder="1" applyAlignment="1">
      <alignment horizontal="left" vertical="center"/>
    </xf>
    <xf numFmtId="0" fontId="39" fillId="0" borderId="5" xfId="0" applyFont="1" applyBorder="1" applyAlignment="1">
      <alignment vertical="center"/>
    </xf>
    <xf numFmtId="0" fontId="23" fillId="0" borderId="5" xfId="0" applyFont="1" applyBorder="1" applyAlignment="1">
      <alignment vertical="center"/>
    </xf>
    <xf numFmtId="1" fontId="23" fillId="0" borderId="5" xfId="0" applyNumberFormat="1" applyFont="1" applyBorder="1" applyAlignment="1">
      <alignment vertical="center"/>
    </xf>
    <xf numFmtId="0" fontId="21" fillId="0" borderId="5" xfId="0" applyFont="1" applyBorder="1" applyAlignment="1">
      <alignment vertical="center"/>
    </xf>
    <xf numFmtId="0" fontId="22" fillId="0" borderId="5" xfId="0" applyFont="1" applyBorder="1" applyAlignment="1">
      <alignment horizontal="right" vertical="center"/>
    </xf>
    <xf numFmtId="1" fontId="21" fillId="0" borderId="5" xfId="0" applyNumberFormat="1" applyFont="1" applyBorder="1" applyAlignment="1">
      <alignment vertical="center"/>
    </xf>
    <xf numFmtId="3" fontId="23" fillId="0" borderId="5" xfId="0" applyNumberFormat="1" applyFont="1" applyBorder="1" applyAlignment="1">
      <alignment horizontal="right" vertical="center"/>
    </xf>
    <xf numFmtId="0" fontId="23" fillId="0" borderId="5" xfId="0" applyFont="1" applyBorder="1" applyAlignment="1">
      <alignment horizontal="center" vertical="center"/>
    </xf>
    <xf numFmtId="166" fontId="23" fillId="0" borderId="5" xfId="0" applyNumberFormat="1" applyFont="1" applyBorder="1" applyAlignment="1">
      <alignment horizontal="right" vertical="center"/>
    </xf>
    <xf numFmtId="1" fontId="23" fillId="0" borderId="5" xfId="0" applyNumberFormat="1" applyFont="1" applyBorder="1" applyAlignment="1">
      <alignment horizontal="right" vertical="center"/>
    </xf>
    <xf numFmtId="0" fontId="26" fillId="0" borderId="5" xfId="0" applyFont="1" applyBorder="1" applyAlignment="1">
      <alignment vertical="center"/>
    </xf>
    <xf numFmtId="0" fontId="20" fillId="0" borderId="5" xfId="0" applyFont="1" applyBorder="1" applyAlignment="1">
      <alignment vertical="center"/>
    </xf>
    <xf numFmtId="0" fontId="28" fillId="0" borderId="5" xfId="0" applyFont="1" applyBorder="1" applyAlignment="1">
      <alignment vertical="center"/>
    </xf>
    <xf numFmtId="3" fontId="28" fillId="0" borderId="5" xfId="0" applyNumberFormat="1" applyFont="1" applyBorder="1" applyAlignment="1">
      <alignment vertical="center"/>
    </xf>
    <xf numFmtId="1" fontId="28" fillId="0" borderId="5" xfId="0" applyNumberFormat="1" applyFont="1" applyBorder="1" applyAlignment="1">
      <alignment vertical="center"/>
    </xf>
    <xf numFmtId="0" fontId="33" fillId="0" borderId="5" xfId="0" applyFont="1" applyBorder="1" applyAlignment="1">
      <alignment horizontal="right" vertical="center"/>
    </xf>
    <xf numFmtId="3" fontId="33" fillId="0" borderId="5" xfId="0" applyNumberFormat="1" applyFont="1" applyBorder="1" applyAlignment="1">
      <alignment vertical="center"/>
    </xf>
    <xf numFmtId="0" fontId="33" fillId="0" borderId="5" xfId="0" applyFont="1" applyBorder="1" applyAlignment="1">
      <alignment vertical="center"/>
    </xf>
    <xf numFmtId="1" fontId="33" fillId="0" borderId="5" xfId="0" applyNumberFormat="1" applyFont="1" applyBorder="1" applyAlignment="1">
      <alignment vertical="center"/>
    </xf>
    <xf numFmtId="168" fontId="28" fillId="0" borderId="5" xfId="0" applyNumberFormat="1" applyFont="1" applyBorder="1" applyAlignment="1">
      <alignment vertical="center"/>
    </xf>
    <xf numFmtId="0" fontId="26" fillId="0" borderId="5" xfId="0" applyFont="1" applyBorder="1"/>
    <xf numFmtId="41" fontId="23" fillId="2" borderId="5" xfId="3" applyNumberFormat="1" applyFont="1" applyFill="1" applyBorder="1" applyAlignment="1">
      <alignment horizontal="right" vertical="center"/>
    </xf>
    <xf numFmtId="3" fontId="13" fillId="0" borderId="5" xfId="0" applyNumberFormat="1" applyFont="1" applyBorder="1" applyAlignment="1">
      <alignment vertical="center"/>
    </xf>
    <xf numFmtId="3" fontId="13" fillId="0" borderId="5" xfId="0" applyNumberFormat="1" applyFont="1" applyBorder="1" applyAlignment="1">
      <alignment horizontal="right" vertical="center"/>
    </xf>
    <xf numFmtId="0" fontId="28" fillId="0" borderId="5" xfId="0" applyFont="1" applyBorder="1" applyAlignment="1">
      <alignment horizontal="right"/>
    </xf>
    <xf numFmtId="0" fontId="12" fillId="0" borderId="9" xfId="0" applyFont="1" applyBorder="1" applyAlignment="1">
      <alignment horizontal="center" vertical="center"/>
    </xf>
    <xf numFmtId="3" fontId="21" fillId="0" borderId="5" xfId="0" applyNumberFormat="1" applyFont="1" applyBorder="1" applyAlignment="1">
      <alignment horizontal="right" vertical="center"/>
    </xf>
    <xf numFmtId="3" fontId="21" fillId="0" borderId="5" xfId="0" applyNumberFormat="1" applyFont="1" applyBorder="1" applyAlignment="1">
      <alignment vertical="center"/>
    </xf>
    <xf numFmtId="0" fontId="20" fillId="0" borderId="5" xfId="0" applyFont="1" applyBorder="1" applyAlignment="1">
      <alignment horizontal="left" vertical="center"/>
    </xf>
    <xf numFmtId="0" fontId="28" fillId="0" borderId="5" xfId="0" applyFont="1" applyBorder="1" applyAlignment="1">
      <alignment horizontal="left" vertical="center"/>
    </xf>
    <xf numFmtId="41" fontId="23" fillId="2" borderId="5" xfId="3" applyNumberFormat="1" applyFont="1" applyFill="1" applyBorder="1" applyAlignment="1">
      <alignment horizontal="right"/>
    </xf>
    <xf numFmtId="0" fontId="21" fillId="0" borderId="5" xfId="0" applyFont="1" applyBorder="1" applyAlignment="1">
      <alignment horizontal="right"/>
    </xf>
    <xf numFmtId="3" fontId="23" fillId="2" borderId="5" xfId="3" applyNumberFormat="1" applyFont="1" applyFill="1" applyBorder="1" applyAlignment="1">
      <alignment horizontal="right"/>
    </xf>
    <xf numFmtId="0" fontId="23" fillId="0" borderId="5" xfId="0" applyNumberFormat="1" applyFont="1" applyBorder="1" applyAlignment="1">
      <alignment horizontal="right" vertical="center"/>
    </xf>
    <xf numFmtId="0" fontId="21" fillId="0" borderId="0" xfId="0" applyNumberFormat="1" applyFont="1" applyAlignment="1">
      <alignment vertical="center"/>
    </xf>
    <xf numFmtId="43" fontId="23" fillId="2" borderId="5" xfId="4" applyNumberFormat="1" applyFont="1" applyFill="1" applyBorder="1" applyAlignment="1">
      <alignment horizontal="right" vertical="center" wrapText="1"/>
    </xf>
    <xf numFmtId="43" fontId="23" fillId="2" borderId="5" xfId="4" applyNumberFormat="1" applyFont="1" applyFill="1" applyBorder="1" applyAlignment="1">
      <alignment horizontal="right"/>
    </xf>
    <xf numFmtId="0" fontId="12" fillId="0" borderId="9" xfId="0" applyFont="1" applyBorder="1" applyAlignment="1">
      <alignment horizontal="center" vertical="center"/>
    </xf>
    <xf numFmtId="0" fontId="36" fillId="0" borderId="5" xfId="0" applyFont="1" applyBorder="1" applyAlignment="1">
      <alignment vertical="center"/>
    </xf>
    <xf numFmtId="43" fontId="25" fillId="2" borderId="5" xfId="3" applyNumberFormat="1" applyFont="1" applyFill="1" applyBorder="1" applyAlignment="1">
      <alignment horizontal="right"/>
    </xf>
    <xf numFmtId="43" fontId="23" fillId="2" borderId="5" xfId="4" applyNumberFormat="1" applyFont="1" applyFill="1" applyBorder="1" applyAlignment="1">
      <alignment horizontal="right" vertical="center"/>
    </xf>
    <xf numFmtId="43" fontId="23" fillId="2" borderId="5" xfId="3" applyNumberFormat="1" applyFont="1" applyFill="1" applyBorder="1" applyAlignment="1">
      <alignment horizontal="right" vertical="center" wrapText="1"/>
    </xf>
    <xf numFmtId="43" fontId="23" fillId="2" borderId="5" xfId="3" applyNumberFormat="1" applyFont="1" applyFill="1" applyBorder="1" applyAlignment="1">
      <alignment horizontal="right"/>
    </xf>
    <xf numFmtId="0" fontId="27" fillId="0" borderId="5" xfId="0" applyFont="1" applyBorder="1" applyAlignment="1">
      <alignment horizontal="right" vertical="center"/>
    </xf>
    <xf numFmtId="165" fontId="16" fillId="0" borderId="5" xfId="2" applyNumberFormat="1" applyFont="1" applyBorder="1" applyAlignment="1">
      <alignment vertical="center"/>
    </xf>
    <xf numFmtId="166" fontId="36" fillId="0" borderId="5" xfId="0" applyNumberFormat="1" applyFont="1" applyBorder="1" applyAlignment="1">
      <alignment vertical="center"/>
    </xf>
    <xf numFmtId="0" fontId="16" fillId="0" borderId="5" xfId="0" applyFont="1" applyBorder="1" applyAlignment="1">
      <alignment horizontal="right" vertical="center"/>
    </xf>
    <xf numFmtId="43" fontId="23" fillId="0" borderId="5" xfId="0" applyNumberFormat="1" applyFont="1" applyBorder="1" applyAlignment="1">
      <alignment horizontal="right" vertical="center"/>
    </xf>
    <xf numFmtId="167" fontId="23" fillId="0" borderId="5" xfId="0" applyNumberFormat="1" applyFont="1" applyBorder="1" applyAlignment="1">
      <alignment horizontal="right" vertical="center"/>
    </xf>
    <xf numFmtId="167" fontId="25" fillId="2" borderId="5" xfId="3" applyNumberFormat="1" applyFont="1" applyFill="1" applyBorder="1" applyAlignment="1">
      <alignment horizontal="right"/>
    </xf>
    <xf numFmtId="166" fontId="25" fillId="2" borderId="5" xfId="3" applyNumberFormat="1" applyFont="1" applyFill="1" applyBorder="1" applyAlignment="1">
      <alignment horizontal="right"/>
    </xf>
    <xf numFmtId="167" fontId="28" fillId="0" borderId="5" xfId="0" applyNumberFormat="1" applyFont="1" applyBorder="1" applyAlignment="1">
      <alignment vertical="center"/>
    </xf>
    <xf numFmtId="167" fontId="23" fillId="0" borderId="5" xfId="0" applyNumberFormat="1" applyFont="1" applyBorder="1" applyAlignment="1">
      <alignment vertical="center"/>
    </xf>
    <xf numFmtId="1" fontId="33" fillId="0" borderId="5" xfId="0" applyNumberFormat="1" applyFont="1" applyBorder="1" applyAlignment="1">
      <alignment horizontal="right" vertical="center"/>
    </xf>
    <xf numFmtId="167" fontId="33" fillId="0" borderId="5" xfId="0" applyNumberFormat="1" applyFont="1" applyBorder="1" applyAlignment="1">
      <alignment vertical="center"/>
    </xf>
    <xf numFmtId="166" fontId="23" fillId="0" borderId="5" xfId="0" applyNumberFormat="1" applyFont="1" applyBorder="1" applyAlignment="1">
      <alignment vertical="center"/>
    </xf>
    <xf numFmtId="0" fontId="23" fillId="2" borderId="5" xfId="0" applyNumberFormat="1" applyFont="1" applyFill="1" applyBorder="1" applyAlignment="1">
      <alignment horizontal="right"/>
    </xf>
    <xf numFmtId="43" fontId="23" fillId="2" borderId="5" xfId="0" applyNumberFormat="1" applyFont="1" applyFill="1" applyBorder="1" applyAlignment="1">
      <alignment horizontal="right"/>
    </xf>
    <xf numFmtId="166" fontId="16" fillId="0" borderId="5" xfId="0" applyNumberFormat="1" applyFont="1" applyBorder="1" applyAlignment="1">
      <alignment horizontal="center" vertical="center"/>
    </xf>
    <xf numFmtId="165" fontId="16" fillId="0" borderId="5" xfId="2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right" vertical="center"/>
    </xf>
    <xf numFmtId="0" fontId="23" fillId="2" borderId="5" xfId="3" applyNumberFormat="1" applyFont="1" applyFill="1" applyBorder="1" applyAlignment="1">
      <alignment horizontal="right" vertical="center"/>
    </xf>
    <xf numFmtId="2" fontId="23" fillId="2" borderId="5" xfId="3" applyNumberFormat="1" applyFont="1" applyFill="1" applyBorder="1" applyAlignment="1">
      <alignment horizontal="right"/>
    </xf>
    <xf numFmtId="1" fontId="23" fillId="2" borderId="5" xfId="3" applyNumberFormat="1" applyFont="1" applyFill="1" applyBorder="1" applyAlignment="1">
      <alignment horizontal="right" vertical="center"/>
    </xf>
    <xf numFmtId="1" fontId="23" fillId="2" borderId="5" xfId="3" applyNumberFormat="1" applyFont="1" applyFill="1" applyBorder="1" applyAlignment="1">
      <alignment horizontal="right"/>
    </xf>
    <xf numFmtId="0" fontId="23" fillId="0" borderId="5" xfId="0" applyFont="1" applyBorder="1"/>
    <xf numFmtId="4" fontId="23" fillId="0" borderId="5" xfId="0" applyNumberFormat="1" applyFont="1" applyBorder="1"/>
    <xf numFmtId="167" fontId="23" fillId="2" borderId="5" xfId="4" applyNumberFormat="1" applyFont="1" applyFill="1" applyBorder="1" applyAlignment="1">
      <alignment horizontal="right" vertical="center" wrapText="1"/>
    </xf>
    <xf numFmtId="1" fontId="23" fillId="2" borderId="5" xfId="0" applyNumberFormat="1" applyFont="1" applyFill="1" applyBorder="1" applyAlignment="1">
      <alignment horizontal="right"/>
    </xf>
    <xf numFmtId="167" fontId="23" fillId="2" borderId="5" xfId="0" applyNumberFormat="1" applyFont="1" applyFill="1" applyBorder="1" applyAlignment="1">
      <alignment horizontal="right"/>
    </xf>
    <xf numFmtId="1" fontId="23" fillId="2" borderId="5" xfId="4" applyNumberFormat="1" applyFont="1" applyFill="1" applyBorder="1" applyAlignment="1">
      <alignment horizontal="right" vertical="center" wrapText="1"/>
    </xf>
    <xf numFmtId="167" fontId="28" fillId="0" borderId="5" xfId="0" applyNumberFormat="1" applyFont="1" applyBorder="1" applyAlignment="1">
      <alignment vertical="center" wrapText="1"/>
    </xf>
    <xf numFmtId="0" fontId="33" fillId="0" borderId="5" xfId="0" applyNumberFormat="1" applyFont="1" applyBorder="1" applyAlignment="1">
      <alignment horizontal="right" vertical="center"/>
    </xf>
    <xf numFmtId="43" fontId="23" fillId="2" borderId="5" xfId="0" applyNumberFormat="1" applyFont="1" applyFill="1" applyBorder="1" applyAlignment="1">
      <alignment horizontal="right" vertical="center"/>
    </xf>
    <xf numFmtId="1" fontId="23" fillId="2" borderId="5" xfId="0" applyNumberFormat="1" applyFont="1" applyFill="1" applyBorder="1" applyAlignment="1">
      <alignment horizontal="right" vertical="center"/>
    </xf>
    <xf numFmtId="3" fontId="23" fillId="0" borderId="5" xfId="0" applyNumberFormat="1" applyFont="1" applyBorder="1"/>
    <xf numFmtId="0" fontId="22" fillId="0" borderId="5" xfId="0" applyFont="1" applyBorder="1" applyAlignment="1">
      <alignment horizontal="left" vertical="center"/>
    </xf>
    <xf numFmtId="0" fontId="23" fillId="0" borderId="5" xfId="0" applyFont="1" applyBorder="1" applyAlignment="1">
      <alignment horizontal="right" vertical="center"/>
    </xf>
    <xf numFmtId="0" fontId="15" fillId="0" borderId="2" xfId="0" applyFont="1" applyBorder="1"/>
    <xf numFmtId="0" fontId="12" fillId="0" borderId="5" xfId="0" applyFont="1" applyBorder="1" applyAlignment="1">
      <alignment horizontal="right" vertical="center"/>
    </xf>
    <xf numFmtId="0" fontId="9" fillId="0" borderId="15" xfId="0" applyFont="1" applyBorder="1" applyAlignment="1">
      <alignment horizontal="right" vertical="center"/>
    </xf>
    <xf numFmtId="0" fontId="17" fillId="0" borderId="8" xfId="0" applyFont="1" applyBorder="1" applyAlignment="1">
      <alignment horizontal="right" vertical="center"/>
    </xf>
    <xf numFmtId="0" fontId="17" fillId="0" borderId="8" xfId="1" applyNumberFormat="1" applyFont="1" applyFill="1" applyBorder="1" applyAlignment="1">
      <alignment horizontal="right" vertical="center"/>
    </xf>
    <xf numFmtId="0" fontId="17" fillId="0" borderId="8" xfId="0" applyFont="1" applyBorder="1"/>
    <xf numFmtId="0" fontId="17" fillId="0" borderId="8" xfId="1" applyNumberFormat="1" applyFont="1" applyFill="1" applyBorder="1" applyAlignment="1">
      <alignment horizontal="right"/>
    </xf>
    <xf numFmtId="0" fontId="17" fillId="0" borderId="10" xfId="1" applyNumberFormat="1" applyFont="1" applyFill="1" applyBorder="1" applyAlignment="1">
      <alignment horizontal="right"/>
    </xf>
    <xf numFmtId="0" fontId="17" fillId="0" borderId="10" xfId="0" applyFont="1" applyBorder="1"/>
    <xf numFmtId="0" fontId="17" fillId="0" borderId="8" xfId="0" applyFont="1" applyBorder="1" applyAlignment="1">
      <alignment horizontal="right"/>
    </xf>
    <xf numFmtId="0" fontId="17" fillId="0" borderId="15" xfId="0" applyFont="1" applyBorder="1" applyAlignment="1">
      <alignment horizontal="right" vertical="center"/>
    </xf>
    <xf numFmtId="0" fontId="16" fillId="0" borderId="15" xfId="0" applyFont="1" applyBorder="1" applyAlignment="1">
      <alignment horizontal="right" vertical="center"/>
    </xf>
    <xf numFmtId="0" fontId="16" fillId="0" borderId="8" xfId="0" applyFont="1" applyBorder="1" applyAlignment="1">
      <alignment horizontal="right" vertical="center"/>
    </xf>
    <xf numFmtId="0" fontId="16" fillId="0" borderId="8" xfId="1" applyNumberFormat="1" applyFont="1" applyFill="1" applyBorder="1" applyAlignment="1">
      <alignment horizontal="right" vertical="center"/>
    </xf>
    <xf numFmtId="0" fontId="16" fillId="0" borderId="8" xfId="0" applyFont="1" applyBorder="1"/>
    <xf numFmtId="0" fontId="16" fillId="0" borderId="8" xfId="0" applyFont="1" applyBorder="1" applyAlignment="1">
      <alignment horizontal="right"/>
    </xf>
    <xf numFmtId="0" fontId="16" fillId="0" borderId="10" xfId="0" applyFont="1" applyBorder="1"/>
    <xf numFmtId="0" fontId="20" fillId="0" borderId="0" xfId="0" applyFont="1" applyAlignment="1">
      <alignment horizontal="center" vertical="center"/>
    </xf>
    <xf numFmtId="0" fontId="22" fillId="0" borderId="0" xfId="0" applyFont="1" applyBorder="1" applyAlignment="1">
      <alignment horizontal="right" vertical="center"/>
    </xf>
    <xf numFmtId="0" fontId="23" fillId="0" borderId="0" xfId="0" applyFont="1" applyBorder="1" applyAlignment="1">
      <alignment horizontal="right" vertical="center"/>
    </xf>
    <xf numFmtId="3" fontId="23" fillId="0" borderId="0" xfId="0" applyNumberFormat="1" applyFont="1" applyBorder="1" applyAlignment="1">
      <alignment horizontal="right" vertical="center"/>
    </xf>
    <xf numFmtId="0" fontId="23" fillId="0" borderId="0" xfId="0" applyFont="1" applyBorder="1" applyAlignment="1">
      <alignment horizontal="center" vertical="center"/>
    </xf>
    <xf numFmtId="1" fontId="23" fillId="0" borderId="0" xfId="0" applyNumberFormat="1" applyFont="1" applyBorder="1" applyAlignment="1">
      <alignment horizontal="right" vertical="center"/>
    </xf>
    <xf numFmtId="0" fontId="43" fillId="0" borderId="0" xfId="0" applyFont="1" applyAlignment="1">
      <alignment horizontal="center" vertical="center"/>
    </xf>
    <xf numFmtId="0" fontId="23" fillId="0" borderId="0" xfId="0" applyFont="1" applyBorder="1" applyAlignment="1">
      <alignment horizontal="left" vertical="center" indent="1"/>
    </xf>
    <xf numFmtId="0" fontId="21" fillId="0" borderId="0" xfId="0" applyFont="1" applyBorder="1" applyAlignment="1">
      <alignment vertical="center"/>
    </xf>
    <xf numFmtId="0" fontId="28" fillId="0" borderId="5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/>
    </xf>
    <xf numFmtId="0" fontId="27" fillId="0" borderId="9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36" fillId="0" borderId="5" xfId="0" applyFont="1" applyBorder="1" applyAlignment="1">
      <alignment horizontal="center" vertical="center"/>
    </xf>
    <xf numFmtId="166" fontId="36" fillId="0" borderId="5" xfId="0" applyNumberFormat="1" applyFont="1" applyBorder="1" applyAlignment="1">
      <alignment horizontal="center" vertical="center"/>
    </xf>
    <xf numFmtId="3" fontId="36" fillId="0" borderId="5" xfId="0" applyNumberFormat="1" applyFont="1" applyBorder="1" applyAlignment="1">
      <alignment horizontal="center" vertical="center"/>
    </xf>
    <xf numFmtId="3" fontId="16" fillId="0" borderId="5" xfId="0" applyNumberFormat="1" applyFont="1" applyBorder="1" applyAlignment="1">
      <alignment horizontal="center" vertical="center"/>
    </xf>
    <xf numFmtId="1" fontId="36" fillId="0" borderId="5" xfId="0" applyNumberFormat="1" applyFont="1" applyBorder="1" applyAlignment="1">
      <alignment horizontal="center" vertical="center"/>
    </xf>
    <xf numFmtId="1" fontId="16" fillId="0" borderId="5" xfId="0" applyNumberFormat="1" applyFont="1" applyBorder="1" applyAlignment="1">
      <alignment horizontal="center" vertical="center"/>
    </xf>
    <xf numFmtId="3" fontId="37" fillId="0" borderId="5" xfId="0" applyNumberFormat="1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27" fillId="0" borderId="0" xfId="0" applyFont="1" applyBorder="1" applyAlignment="1">
      <alignment horizontal="right" vertical="center"/>
    </xf>
    <xf numFmtId="0" fontId="35" fillId="0" borderId="0" xfId="0" applyFont="1" applyBorder="1" applyAlignment="1">
      <alignment vertical="center"/>
    </xf>
    <xf numFmtId="166" fontId="35" fillId="0" borderId="0" xfId="0" applyNumberFormat="1" applyFont="1" applyBorder="1" applyAlignment="1">
      <alignment vertical="center"/>
    </xf>
    <xf numFmtId="0" fontId="35" fillId="0" borderId="0" xfId="0" applyFont="1" applyBorder="1" applyAlignment="1">
      <alignment horizontal="right" vertical="center"/>
    </xf>
    <xf numFmtId="0" fontId="36" fillId="0" borderId="0" xfId="0" applyFont="1" applyBorder="1" applyAlignment="1">
      <alignment vertical="center"/>
    </xf>
    <xf numFmtId="166" fontId="36" fillId="0" borderId="0" xfId="0" applyNumberFormat="1" applyFont="1" applyBorder="1" applyAlignment="1">
      <alignment vertical="center"/>
    </xf>
    <xf numFmtId="3" fontId="36" fillId="0" borderId="0" xfId="0" applyNumberFormat="1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166" fontId="16" fillId="0" borderId="0" xfId="0" applyNumberFormat="1" applyFont="1" applyBorder="1" applyAlignment="1">
      <alignment horizontal="right" vertical="center"/>
    </xf>
    <xf numFmtId="3" fontId="16" fillId="0" borderId="0" xfId="0" applyNumberFormat="1" applyFont="1" applyBorder="1" applyAlignment="1">
      <alignment horizontal="right" vertical="center"/>
    </xf>
    <xf numFmtId="1" fontId="36" fillId="0" borderId="0" xfId="0" applyNumberFormat="1" applyFont="1" applyBorder="1" applyAlignment="1">
      <alignment vertical="center"/>
    </xf>
    <xf numFmtId="1" fontId="16" fillId="0" borderId="0" xfId="0" applyNumberFormat="1" applyFont="1" applyBorder="1" applyAlignment="1">
      <alignment horizontal="right" vertical="center"/>
    </xf>
    <xf numFmtId="3" fontId="37" fillId="0" borderId="0" xfId="0" applyNumberFormat="1" applyFont="1" applyBorder="1" applyAlignment="1">
      <alignment horizontal="right"/>
    </xf>
    <xf numFmtId="3" fontId="36" fillId="0" borderId="0" xfId="0" applyNumberFormat="1" applyFont="1" applyBorder="1" applyAlignment="1">
      <alignment horizontal="right" vertical="center"/>
    </xf>
    <xf numFmtId="0" fontId="20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2" fontId="28" fillId="0" borderId="0" xfId="0" applyNumberFormat="1" applyFont="1" applyBorder="1" applyAlignment="1">
      <alignment vertical="center"/>
    </xf>
    <xf numFmtId="3" fontId="33" fillId="0" borderId="0" xfId="0" applyNumberFormat="1" applyFont="1" applyBorder="1" applyAlignment="1">
      <alignment horizontal="right" vertical="center"/>
    </xf>
    <xf numFmtId="0" fontId="33" fillId="0" borderId="0" xfId="0" applyFont="1" applyBorder="1" applyAlignment="1">
      <alignment horizontal="right" vertical="center"/>
    </xf>
    <xf numFmtId="3" fontId="33" fillId="0" borderId="0" xfId="0" applyNumberFormat="1" applyFont="1" applyBorder="1" applyAlignment="1">
      <alignment vertical="center"/>
    </xf>
    <xf numFmtId="0" fontId="33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1" fontId="33" fillId="0" borderId="0" xfId="0" applyNumberFormat="1" applyFont="1" applyBorder="1" applyAlignment="1">
      <alignment vertical="center"/>
    </xf>
    <xf numFmtId="0" fontId="31" fillId="0" borderId="0" xfId="0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4" fontId="0" fillId="0" borderId="0" xfId="0" applyNumberFormat="1" applyBorder="1" applyAlignment="1">
      <alignment vertical="center"/>
    </xf>
    <xf numFmtId="0" fontId="30" fillId="0" borderId="0" xfId="0" applyFont="1" applyBorder="1" applyAlignment="1">
      <alignment horizontal="right" vertical="center"/>
    </xf>
    <xf numFmtId="0" fontId="21" fillId="0" borderId="0" xfId="0" applyFont="1" applyBorder="1" applyAlignment="1">
      <alignment horizontal="right"/>
    </xf>
    <xf numFmtId="0" fontId="22" fillId="0" borderId="11" xfId="0" applyFont="1" applyBorder="1" applyAlignment="1">
      <alignment horizontal="center" vertical="center"/>
    </xf>
    <xf numFmtId="0" fontId="25" fillId="0" borderId="13" xfId="0" applyFont="1" applyBorder="1" applyAlignment="1">
      <alignment horizontal="left" vertical="center"/>
    </xf>
    <xf numFmtId="0" fontId="25" fillId="0" borderId="14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25" fillId="0" borderId="10" xfId="0" applyFont="1" applyBorder="1" applyAlignment="1">
      <alignment horizontal="left" vertical="center"/>
    </xf>
    <xf numFmtId="0" fontId="23" fillId="0" borderId="8" xfId="0" applyFont="1" applyBorder="1" applyAlignment="1">
      <alignment horizontal="left" vertical="center"/>
    </xf>
    <xf numFmtId="0" fontId="22" fillId="0" borderId="11" xfId="0" applyFont="1" applyBorder="1" applyAlignment="1">
      <alignment horizontal="right" vertical="center"/>
    </xf>
    <xf numFmtId="165" fontId="25" fillId="0" borderId="10" xfId="2" applyNumberFormat="1" applyFont="1" applyBorder="1" applyAlignment="1">
      <alignment horizontal="left" vertical="center"/>
    </xf>
    <xf numFmtId="0" fontId="22" fillId="0" borderId="2" xfId="0" applyFont="1" applyBorder="1" applyAlignment="1">
      <alignment vertical="center"/>
    </xf>
    <xf numFmtId="0" fontId="26" fillId="0" borderId="11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21" fillId="0" borderId="12" xfId="0" applyFont="1" applyBorder="1" applyAlignment="1">
      <alignment vertical="center"/>
    </xf>
    <xf numFmtId="0" fontId="21" fillId="0" borderId="14" xfId="0" applyFont="1" applyBorder="1" applyAlignment="1">
      <alignment vertical="center"/>
    </xf>
    <xf numFmtId="0" fontId="17" fillId="0" borderId="6" xfId="0" applyFont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44" fillId="0" borderId="5" xfId="0" applyFont="1" applyBorder="1" applyAlignment="1">
      <alignment vertical="center"/>
    </xf>
    <xf numFmtId="0" fontId="28" fillId="0" borderId="8" xfId="0" applyFont="1" applyBorder="1" applyAlignment="1">
      <alignment horizontal="left" vertical="center"/>
    </xf>
    <xf numFmtId="0" fontId="21" fillId="0" borderId="13" xfId="0" applyFont="1" applyBorder="1"/>
    <xf numFmtId="0" fontId="21" fillId="0" borderId="14" xfId="0" applyFont="1" applyBorder="1"/>
    <xf numFmtId="0" fontId="17" fillId="0" borderId="0" xfId="0" applyFont="1" applyFill="1" applyBorder="1" applyAlignment="1">
      <alignment horizontal="left" vertical="center"/>
    </xf>
    <xf numFmtId="0" fontId="23" fillId="0" borderId="3" xfId="0" applyFont="1" applyBorder="1" applyAlignment="1">
      <alignment horizontal="right" vertical="center"/>
    </xf>
    <xf numFmtId="0" fontId="23" fillId="0" borderId="4" xfId="0" applyFont="1" applyBorder="1" applyAlignment="1">
      <alignment horizontal="right" vertical="center"/>
    </xf>
    <xf numFmtId="0" fontId="23" fillId="0" borderId="0" xfId="0" applyFont="1" applyFill="1" applyBorder="1" applyAlignment="1">
      <alignment horizontal="left" vertical="center" indent="1"/>
    </xf>
    <xf numFmtId="3" fontId="44" fillId="0" borderId="5" xfId="0" applyNumberFormat="1" applyFont="1" applyBorder="1" applyAlignment="1">
      <alignment vertical="center"/>
    </xf>
    <xf numFmtId="0" fontId="45" fillId="0" borderId="5" xfId="0" applyFont="1" applyBorder="1" applyAlignment="1">
      <alignment vertical="center"/>
    </xf>
    <xf numFmtId="1" fontId="9" fillId="0" borderId="5" xfId="1" applyNumberFormat="1" applyFont="1" applyFill="1" applyBorder="1" applyAlignment="1" applyProtection="1">
      <alignment horizontal="right" vertical="center"/>
    </xf>
    <xf numFmtId="0" fontId="42" fillId="0" borderId="0" xfId="0" applyFont="1" applyAlignment="1">
      <alignment horizontal="center"/>
    </xf>
    <xf numFmtId="0" fontId="20" fillId="0" borderId="0" xfId="0" applyFont="1" applyAlignment="1">
      <alignment horizontal="center" vertical="center"/>
    </xf>
    <xf numFmtId="165" fontId="23" fillId="0" borderId="5" xfId="2" applyNumberFormat="1" applyFont="1" applyBorder="1" applyAlignment="1">
      <alignment horizontal="left" vertical="center"/>
    </xf>
    <xf numFmtId="0" fontId="22" fillId="0" borderId="5" xfId="0" applyFont="1" applyBorder="1" applyAlignment="1">
      <alignment horizontal="left" vertical="center"/>
    </xf>
    <xf numFmtId="165" fontId="23" fillId="0" borderId="5" xfId="2" applyNumberFormat="1" applyFont="1" applyBorder="1" applyAlignment="1">
      <alignment horizontal="left" vertical="center" wrapText="1"/>
    </xf>
    <xf numFmtId="0" fontId="22" fillId="0" borderId="0" xfId="0" applyFont="1" applyAlignment="1">
      <alignment horizontal="center" vertical="center"/>
    </xf>
    <xf numFmtId="0" fontId="43" fillId="0" borderId="0" xfId="0" applyFont="1" applyAlignment="1">
      <alignment horizontal="left" vertical="center" indent="1"/>
    </xf>
    <xf numFmtId="0" fontId="29" fillId="0" borderId="7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165" fontId="28" fillId="0" borderId="0" xfId="2" applyNumberFormat="1" applyFont="1" applyAlignment="1">
      <alignment vertical="center"/>
    </xf>
    <xf numFmtId="165" fontId="28" fillId="0" borderId="9" xfId="2" applyNumberFormat="1" applyFont="1" applyBorder="1" applyAlignment="1">
      <alignment vertical="center"/>
    </xf>
    <xf numFmtId="0" fontId="20" fillId="0" borderId="7" xfId="0" applyFont="1" applyBorder="1" applyAlignment="1">
      <alignment vertical="center"/>
    </xf>
    <xf numFmtId="0" fontId="20" fillId="0" borderId="12" xfId="0" applyFont="1" applyBorder="1" applyAlignment="1">
      <alignment vertical="center"/>
    </xf>
    <xf numFmtId="165" fontId="28" fillId="0" borderId="7" xfId="2" applyNumberFormat="1" applyFont="1" applyBorder="1" applyAlignment="1">
      <alignment vertical="center"/>
    </xf>
    <xf numFmtId="166" fontId="23" fillId="0" borderId="5" xfId="0" applyNumberFormat="1" applyFont="1" applyBorder="1" applyAlignment="1">
      <alignment horizontal="right" vertical="center"/>
    </xf>
    <xf numFmtId="166" fontId="16" fillId="0" borderId="0" xfId="0" applyNumberFormat="1" applyFont="1" applyBorder="1" applyAlignment="1">
      <alignment horizontal="center" vertical="center"/>
    </xf>
    <xf numFmtId="165" fontId="16" fillId="0" borderId="5" xfId="2" applyNumberFormat="1" applyFont="1" applyBorder="1" applyAlignment="1">
      <alignment horizontal="left" vertical="center"/>
    </xf>
    <xf numFmtId="0" fontId="23" fillId="0" borderId="5" xfId="0" applyFont="1" applyBorder="1" applyAlignment="1">
      <alignment horizontal="right" vertical="center"/>
    </xf>
    <xf numFmtId="43" fontId="23" fillId="2" borderId="5" xfId="3" applyNumberFormat="1" applyFont="1" applyFill="1" applyBorder="1" applyAlignment="1">
      <alignment horizontal="right" vertical="center"/>
    </xf>
    <xf numFmtId="0" fontId="27" fillId="0" borderId="9" xfId="0" applyFont="1" applyBorder="1" applyAlignment="1">
      <alignment horizontal="center" vertical="center"/>
    </xf>
    <xf numFmtId="166" fontId="16" fillId="0" borderId="5" xfId="0" applyNumberFormat="1" applyFont="1" applyBorder="1" applyAlignment="1">
      <alignment horizontal="center" vertical="center"/>
    </xf>
    <xf numFmtId="0" fontId="27" fillId="0" borderId="5" xfId="0" applyFont="1" applyBorder="1" applyAlignment="1">
      <alignment horizontal="left" vertical="center"/>
    </xf>
  </cellXfs>
  <cellStyles count="5">
    <cellStyle name="Comma" xfId="1" builtinId="3"/>
    <cellStyle name="Normal" xfId="0" builtinId="0"/>
    <cellStyle name="Normal 2" xfId="3" xr:uid="{CCF25A2C-C61A-47D9-B528-18BED7C7BD7B}"/>
    <cellStyle name="Normal 3" xfId="4" xr:uid="{8FBB931D-82A7-4E12-AE38-466122BC5A52}"/>
    <cellStyle name="Normal_Tab5.6" xfId="2" xr:uid="{417B5FD8-FC7B-41FA-AB89-0D6066C484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8"/>
  <sheetViews>
    <sheetView workbookViewId="0">
      <selection activeCell="G9" sqref="G9"/>
    </sheetView>
  </sheetViews>
  <sheetFormatPr defaultRowHeight="14.5" x14ac:dyDescent="0.35"/>
  <cols>
    <col min="2" max="2" width="12.6328125" customWidth="1"/>
  </cols>
  <sheetData>
    <row r="1" spans="2:5" ht="15.5" x14ac:dyDescent="0.35">
      <c r="B1" s="1" t="s">
        <v>0</v>
      </c>
      <c r="C1" s="2"/>
      <c r="D1" s="3"/>
      <c r="E1" s="3"/>
    </row>
    <row r="2" spans="2:5" ht="15.5" x14ac:dyDescent="0.35">
      <c r="B2" s="4"/>
      <c r="C2" s="5" t="s">
        <v>1</v>
      </c>
      <c r="D2" s="3"/>
      <c r="E2" s="3"/>
    </row>
    <row r="3" spans="2:5" x14ac:dyDescent="0.35">
      <c r="B3" s="7" t="s">
        <v>2</v>
      </c>
      <c r="C3" s="236">
        <v>2017</v>
      </c>
      <c r="D3" s="227">
        <v>2019</v>
      </c>
      <c r="E3" s="227">
        <v>2021</v>
      </c>
    </row>
    <row r="4" spans="2:5" ht="15.5" x14ac:dyDescent="0.35">
      <c r="B4" s="9" t="s">
        <v>3</v>
      </c>
      <c r="C4" s="10">
        <v>217</v>
      </c>
      <c r="D4" s="11">
        <f>(1/30)*18360</f>
        <v>612</v>
      </c>
      <c r="E4" s="8">
        <v>612</v>
      </c>
    </row>
    <row r="5" spans="2:5" ht="15.5" x14ac:dyDescent="0.35">
      <c r="B5" s="9" t="s">
        <v>4</v>
      </c>
      <c r="C5" s="237">
        <v>12061</v>
      </c>
      <c r="D5" s="8">
        <f>(9/30)*18360</f>
        <v>5508</v>
      </c>
      <c r="E5" s="8">
        <v>5508</v>
      </c>
    </row>
    <row r="6" spans="2:5" ht="15.5" x14ac:dyDescent="0.35">
      <c r="B6" s="9" t="s">
        <v>5</v>
      </c>
      <c r="C6" s="237"/>
      <c r="D6" s="8">
        <f>(12/30)*18360</f>
        <v>7344</v>
      </c>
      <c r="E6" s="8">
        <v>7344</v>
      </c>
    </row>
    <row r="7" spans="2:5" ht="15.5" x14ac:dyDescent="0.35">
      <c r="B7" s="12" t="s">
        <v>6</v>
      </c>
      <c r="C7" s="13">
        <v>12278</v>
      </c>
      <c r="D7" s="235">
        <f>SUM(D4:D6)</f>
        <v>13464</v>
      </c>
      <c r="E7" s="227">
        <v>13464</v>
      </c>
    </row>
    <row r="8" spans="2:5" x14ac:dyDescent="0.35">
      <c r="B8" s="6" t="s">
        <v>7</v>
      </c>
      <c r="C8" s="3"/>
      <c r="D8" s="3"/>
      <c r="E8" s="3"/>
    </row>
  </sheetData>
  <mergeCells count="1">
    <mergeCell ref="C5:C6"/>
  </mergeCells>
  <pageMargins left="0.7" right="0.7" top="0.75" bottom="0.75" header="0.3" footer="0.3"/>
  <pageSetup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FEA17-CF00-49B9-B41D-4CB57AFB1DC1}">
  <dimension ref="A1:I20"/>
  <sheetViews>
    <sheetView tabSelected="1" topLeftCell="A3" workbookViewId="0">
      <selection activeCell="H12" sqref="H12"/>
    </sheetView>
  </sheetViews>
  <sheetFormatPr defaultRowHeight="14.5" x14ac:dyDescent="0.35"/>
  <cols>
    <col min="1" max="1" width="47" customWidth="1"/>
  </cols>
  <sheetData>
    <row r="1" spans="1:9" ht="15.5" x14ac:dyDescent="0.35">
      <c r="A1" s="14" t="s">
        <v>218</v>
      </c>
      <c r="B1" s="14"/>
      <c r="C1" s="15"/>
      <c r="D1" s="15"/>
      <c r="E1" s="15"/>
      <c r="F1" s="15"/>
      <c r="G1" s="15"/>
      <c r="H1" s="15"/>
      <c r="I1" s="15"/>
    </row>
    <row r="2" spans="1:9" ht="15.5" x14ac:dyDescent="0.35">
      <c r="A2" s="14"/>
      <c r="B2" s="238" t="s">
        <v>8</v>
      </c>
      <c r="C2" s="238"/>
      <c r="D2" s="238"/>
      <c r="E2" s="238"/>
      <c r="F2" s="238"/>
      <c r="G2" s="238"/>
      <c r="H2" s="238"/>
      <c r="I2" s="15"/>
    </row>
    <row r="3" spans="1:9" ht="15.5" x14ac:dyDescent="0.35">
      <c r="A3" s="16" t="s">
        <v>9</v>
      </c>
      <c r="B3" s="145" t="s">
        <v>10</v>
      </c>
      <c r="C3" s="145" t="s">
        <v>11</v>
      </c>
      <c r="D3" s="145" t="s">
        <v>12</v>
      </c>
      <c r="E3" s="145" t="s">
        <v>13</v>
      </c>
      <c r="F3" s="145" t="s">
        <v>14</v>
      </c>
      <c r="G3" s="144">
        <v>2020</v>
      </c>
      <c r="H3" s="17">
        <v>2021</v>
      </c>
      <c r="I3" s="18"/>
    </row>
    <row r="4" spans="1:9" ht="15.5" x14ac:dyDescent="0.35">
      <c r="A4" s="224" t="s">
        <v>15</v>
      </c>
      <c r="B4" s="146">
        <v>0</v>
      </c>
      <c r="C4" s="146">
        <v>0</v>
      </c>
      <c r="D4" s="146">
        <v>0</v>
      </c>
      <c r="E4" s="154">
        <v>0</v>
      </c>
      <c r="F4" s="155">
        <v>0</v>
      </c>
      <c r="G4" s="19">
        <v>11</v>
      </c>
      <c r="H4" s="229">
        <v>11</v>
      </c>
      <c r="I4" s="18"/>
    </row>
    <row r="5" spans="1:9" ht="15.5" x14ac:dyDescent="0.35">
      <c r="A5" s="225" t="s">
        <v>16</v>
      </c>
      <c r="B5" s="147">
        <v>11</v>
      </c>
      <c r="C5" s="147">
        <v>11</v>
      </c>
      <c r="D5" s="147">
        <v>11</v>
      </c>
      <c r="E5" s="147">
        <v>11</v>
      </c>
      <c r="F5" s="156">
        <v>11</v>
      </c>
      <c r="G5" s="19">
        <v>2</v>
      </c>
      <c r="H5" s="229" t="s">
        <v>231</v>
      </c>
      <c r="I5" s="18"/>
    </row>
    <row r="6" spans="1:9" ht="15.5" x14ac:dyDescent="0.35">
      <c r="A6" s="225" t="s">
        <v>17</v>
      </c>
      <c r="B6" s="147">
        <v>11</v>
      </c>
      <c r="C6" s="147">
        <v>11</v>
      </c>
      <c r="D6" s="147">
        <v>11</v>
      </c>
      <c r="E6" s="147">
        <v>11</v>
      </c>
      <c r="F6" s="156">
        <v>11</v>
      </c>
      <c r="G6" s="19">
        <v>5</v>
      </c>
      <c r="H6" s="229" t="s">
        <v>231</v>
      </c>
      <c r="I6" s="18"/>
    </row>
    <row r="7" spans="1:9" ht="15.5" x14ac:dyDescent="0.35">
      <c r="A7" s="225" t="s">
        <v>18</v>
      </c>
      <c r="B7" s="147">
        <v>24</v>
      </c>
      <c r="C7" s="147">
        <v>26</v>
      </c>
      <c r="D7" s="147">
        <v>28</v>
      </c>
      <c r="E7" s="147">
        <v>30</v>
      </c>
      <c r="F7" s="156">
        <v>30</v>
      </c>
      <c r="G7" s="19"/>
      <c r="H7" s="229">
        <v>5</v>
      </c>
      <c r="I7" s="15" t="s">
        <v>229</v>
      </c>
    </row>
    <row r="8" spans="1:9" ht="15.5" x14ac:dyDescent="0.35">
      <c r="A8" s="225" t="s">
        <v>19</v>
      </c>
      <c r="B8" s="147">
        <v>1</v>
      </c>
      <c r="C8" s="147">
        <v>2</v>
      </c>
      <c r="D8" s="147">
        <v>3</v>
      </c>
      <c r="E8" s="147">
        <v>3</v>
      </c>
      <c r="F8" s="156">
        <v>3</v>
      </c>
      <c r="G8" s="19">
        <v>3</v>
      </c>
      <c r="H8" s="229">
        <v>3</v>
      </c>
      <c r="I8" s="15"/>
    </row>
    <row r="9" spans="1:9" ht="15.5" x14ac:dyDescent="0.35">
      <c r="A9" s="225" t="s">
        <v>20</v>
      </c>
      <c r="B9" s="147">
        <v>14</v>
      </c>
      <c r="C9" s="147">
        <v>14</v>
      </c>
      <c r="D9" s="147">
        <v>19</v>
      </c>
      <c r="E9" s="147">
        <v>20</v>
      </c>
      <c r="F9" s="156">
        <v>20</v>
      </c>
      <c r="G9" s="19">
        <v>20</v>
      </c>
      <c r="H9" s="229">
        <v>2</v>
      </c>
      <c r="I9" s="15" t="s">
        <v>229</v>
      </c>
    </row>
    <row r="10" spans="1:9" ht="15.5" x14ac:dyDescent="0.35">
      <c r="A10" s="21" t="s">
        <v>21</v>
      </c>
      <c r="B10" s="148">
        <v>6</v>
      </c>
      <c r="C10" s="148">
        <v>6</v>
      </c>
      <c r="D10" s="148">
        <v>6</v>
      </c>
      <c r="E10" s="148">
        <v>6</v>
      </c>
      <c r="F10" s="157">
        <v>6</v>
      </c>
      <c r="G10" s="19">
        <v>6</v>
      </c>
      <c r="H10" s="229">
        <v>6</v>
      </c>
      <c r="I10" s="15"/>
    </row>
    <row r="11" spans="1:9" ht="15.5" x14ac:dyDescent="0.35">
      <c r="A11" s="21" t="s">
        <v>22</v>
      </c>
      <c r="B11" s="148" t="s">
        <v>23</v>
      </c>
      <c r="C11" s="148" t="s">
        <v>23</v>
      </c>
      <c r="D11" s="148" t="s">
        <v>23</v>
      </c>
      <c r="E11" s="148" t="s">
        <v>23</v>
      </c>
      <c r="F11" s="157" t="s">
        <v>23</v>
      </c>
      <c r="G11" s="19">
        <v>5</v>
      </c>
      <c r="H11" s="229">
        <v>7</v>
      </c>
      <c r="I11" s="15"/>
    </row>
    <row r="12" spans="1:9" ht="15.5" x14ac:dyDescent="0.35">
      <c r="A12" s="21" t="s">
        <v>24</v>
      </c>
      <c r="B12" s="149">
        <v>12.1</v>
      </c>
      <c r="C12" s="149">
        <v>12.1</v>
      </c>
      <c r="D12" s="149">
        <v>12.1</v>
      </c>
      <c r="E12" s="149">
        <v>12.1</v>
      </c>
      <c r="F12" s="158">
        <v>12.1</v>
      </c>
      <c r="G12" s="19">
        <v>12.1</v>
      </c>
      <c r="H12" s="229">
        <v>37.299999999999997</v>
      </c>
      <c r="I12" s="15"/>
    </row>
    <row r="13" spans="1:9" ht="15.5" x14ac:dyDescent="0.35">
      <c r="A13" s="21" t="s">
        <v>25</v>
      </c>
      <c r="B13" s="150">
        <v>33</v>
      </c>
      <c r="C13" s="149">
        <v>33</v>
      </c>
      <c r="D13" s="153" t="s">
        <v>23</v>
      </c>
      <c r="E13" s="153" t="s">
        <v>23</v>
      </c>
      <c r="F13" s="159" t="s">
        <v>23</v>
      </c>
      <c r="G13" s="19">
        <v>30.24</v>
      </c>
      <c r="H13" s="229">
        <v>88</v>
      </c>
      <c r="I13" s="15" t="s">
        <v>234</v>
      </c>
    </row>
    <row r="14" spans="1:9" ht="15.5" x14ac:dyDescent="0.35">
      <c r="A14" s="21" t="s">
        <v>26</v>
      </c>
      <c r="B14" s="150">
        <v>60</v>
      </c>
      <c r="C14" s="149">
        <v>60</v>
      </c>
      <c r="D14" s="153" t="s">
        <v>23</v>
      </c>
      <c r="E14" s="153" t="s">
        <v>23</v>
      </c>
      <c r="F14" s="159" t="s">
        <v>23</v>
      </c>
      <c r="G14" s="19">
        <v>60</v>
      </c>
      <c r="H14" s="229">
        <v>124</v>
      </c>
      <c r="I14" s="15"/>
    </row>
    <row r="15" spans="1:9" ht="15.5" x14ac:dyDescent="0.35">
      <c r="A15" s="21" t="s">
        <v>27</v>
      </c>
      <c r="B15" s="148">
        <v>1</v>
      </c>
      <c r="C15" s="149">
        <v>1</v>
      </c>
      <c r="D15" s="149">
        <v>1</v>
      </c>
      <c r="E15" s="149">
        <v>1</v>
      </c>
      <c r="F15" s="158">
        <v>1</v>
      </c>
      <c r="G15" s="19">
        <v>4</v>
      </c>
      <c r="H15" s="229">
        <v>2</v>
      </c>
      <c r="I15" s="15"/>
    </row>
    <row r="16" spans="1:9" ht="15.5" x14ac:dyDescent="0.35">
      <c r="A16" s="21" t="s">
        <v>28</v>
      </c>
      <c r="B16" s="150">
        <v>4</v>
      </c>
      <c r="C16" s="149">
        <v>5</v>
      </c>
      <c r="D16" s="149">
        <v>7</v>
      </c>
      <c r="E16" s="149">
        <v>8</v>
      </c>
      <c r="F16" s="158">
        <v>8</v>
      </c>
      <c r="G16" s="19">
        <v>8</v>
      </c>
      <c r="H16" s="229">
        <v>11</v>
      </c>
      <c r="I16" s="15"/>
    </row>
    <row r="17" spans="1:9" ht="15.5" x14ac:dyDescent="0.35">
      <c r="A17" s="226" t="s">
        <v>29</v>
      </c>
      <c r="B17" s="151" t="s">
        <v>23</v>
      </c>
      <c r="C17" s="152">
        <v>52</v>
      </c>
      <c r="D17" s="152">
        <v>52</v>
      </c>
      <c r="E17" s="152">
        <v>52</v>
      </c>
      <c r="F17" s="160">
        <v>52</v>
      </c>
      <c r="G17" s="22">
        <v>84</v>
      </c>
      <c r="H17" s="230">
        <v>52</v>
      </c>
      <c r="I17" s="15"/>
    </row>
    <row r="18" spans="1:9" ht="16.5" x14ac:dyDescent="0.35">
      <c r="A18" s="23" t="s">
        <v>30</v>
      </c>
      <c r="B18" s="15"/>
      <c r="C18" s="15"/>
      <c r="D18" s="15"/>
      <c r="E18" s="15"/>
      <c r="F18" s="15"/>
      <c r="G18" s="15"/>
      <c r="H18" s="15"/>
      <c r="I18" s="15"/>
    </row>
    <row r="19" spans="1:9" ht="15.5" x14ac:dyDescent="0.35">
      <c r="A19" s="24" t="s">
        <v>31</v>
      </c>
      <c r="B19" s="15"/>
      <c r="C19" s="15"/>
      <c r="D19" s="15"/>
      <c r="E19" s="15"/>
      <c r="F19" s="15"/>
      <c r="G19" s="15"/>
      <c r="H19" s="15"/>
      <c r="I19" s="15"/>
    </row>
    <row r="20" spans="1:9" ht="15.5" x14ac:dyDescent="0.35">
      <c r="A20" s="231" t="s">
        <v>232</v>
      </c>
    </row>
  </sheetData>
  <mergeCells count="1">
    <mergeCell ref="B2:H2"/>
  </mergeCells>
  <pageMargins left="0.7" right="0.7" top="0.75" bottom="0.75" header="0.3" footer="0.3"/>
  <pageSetup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8278D-7E74-4B75-8E5F-369D399A76AA}">
  <dimension ref="A1:M22"/>
  <sheetViews>
    <sheetView workbookViewId="0">
      <pane ySplit="1" topLeftCell="A2" activePane="bottomLeft" state="frozen"/>
      <selection pane="bottomLeft" activeCell="B13" sqref="B13"/>
    </sheetView>
  </sheetViews>
  <sheetFormatPr defaultRowHeight="14.5" x14ac:dyDescent="0.35"/>
  <cols>
    <col min="1" max="1" width="15.6328125" customWidth="1"/>
    <col min="2" max="2" width="17.54296875" customWidth="1"/>
    <col min="3" max="3" width="9.90625" customWidth="1"/>
    <col min="5" max="5" width="11.36328125" bestFit="1" customWidth="1"/>
    <col min="6" max="6" width="12.54296875" bestFit="1" customWidth="1"/>
  </cols>
  <sheetData>
    <row r="1" spans="1:13" ht="15.5" x14ac:dyDescent="0.35">
      <c r="A1" s="239" t="s">
        <v>219</v>
      </c>
      <c r="B1" s="239"/>
      <c r="C1" s="239"/>
      <c r="D1" s="239"/>
      <c r="E1" s="239"/>
      <c r="F1" s="239"/>
      <c r="G1" s="239"/>
      <c r="H1" s="239"/>
      <c r="I1" s="239"/>
      <c r="J1" s="27"/>
      <c r="K1" s="27"/>
      <c r="L1" s="27"/>
      <c r="M1" s="27"/>
    </row>
    <row r="2" spans="1:13" ht="15.5" x14ac:dyDescent="0.35">
      <c r="A2" s="25"/>
      <c r="B2" s="26"/>
      <c r="C2" s="26"/>
      <c r="D2" s="26"/>
      <c r="E2" s="27"/>
      <c r="F2" s="27"/>
      <c r="G2" s="27"/>
      <c r="H2" s="27"/>
      <c r="I2" s="27"/>
      <c r="J2" s="27"/>
      <c r="K2" s="27"/>
      <c r="L2" s="27"/>
      <c r="M2" s="27"/>
    </row>
    <row r="3" spans="1:13" ht="15.5" x14ac:dyDescent="0.35">
      <c r="A3" s="241" t="s">
        <v>32</v>
      </c>
      <c r="B3" s="241"/>
      <c r="C3" s="142">
        <v>2017</v>
      </c>
      <c r="D3" s="76">
        <v>2018</v>
      </c>
      <c r="E3" s="70">
        <v>2019</v>
      </c>
      <c r="F3" s="70">
        <v>2020</v>
      </c>
      <c r="G3" s="70">
        <v>2021</v>
      </c>
      <c r="H3" s="162"/>
      <c r="J3" s="27"/>
      <c r="K3" s="27"/>
      <c r="L3" s="27"/>
      <c r="M3" s="27"/>
    </row>
    <row r="4" spans="1:13" ht="15.5" x14ac:dyDescent="0.35">
      <c r="A4" s="240" t="s">
        <v>33</v>
      </c>
      <c r="B4" s="28" t="s">
        <v>34</v>
      </c>
      <c r="C4" s="126">
        <v>37</v>
      </c>
      <c r="D4" s="69">
        <v>47.58</v>
      </c>
      <c r="E4" s="127">
        <v>9.51</v>
      </c>
      <c r="F4" s="105">
        <v>13.771286399999999</v>
      </c>
      <c r="G4" s="131">
        <v>5.04</v>
      </c>
      <c r="H4" s="163"/>
      <c r="J4" s="27"/>
      <c r="K4" s="27"/>
      <c r="L4" s="27"/>
      <c r="M4" s="27"/>
    </row>
    <row r="5" spans="1:13" ht="15.5" x14ac:dyDescent="0.35">
      <c r="A5" s="240"/>
      <c r="B5" s="29" t="s">
        <v>35</v>
      </c>
      <c r="C5" s="126">
        <v>31000</v>
      </c>
      <c r="D5" s="69">
        <f>30.54*1000</f>
        <v>30540</v>
      </c>
      <c r="E5" s="128">
        <f>3.63515*1000</f>
        <v>3635.15</v>
      </c>
      <c r="F5" s="105">
        <f>6.61524493*1000</f>
        <v>6615.2449299999998</v>
      </c>
      <c r="G5" s="131">
        <f>3.04*1000</f>
        <v>3040</v>
      </c>
      <c r="H5" s="163"/>
      <c r="J5" s="27"/>
      <c r="K5" s="27"/>
      <c r="L5" s="27"/>
      <c r="M5" s="27"/>
    </row>
    <row r="6" spans="1:13" ht="15.5" x14ac:dyDescent="0.35">
      <c r="A6" s="240"/>
      <c r="B6" s="31" t="s">
        <v>36</v>
      </c>
      <c r="C6" s="126">
        <v>668</v>
      </c>
      <c r="D6" s="71">
        <f>D5/D4</f>
        <v>641.86633039092055</v>
      </c>
      <c r="E6" s="75">
        <f>E5/E4</f>
        <v>382.24500525762357</v>
      </c>
      <c r="F6" s="75">
        <f>F5/F4</f>
        <v>480.36506814642968</v>
      </c>
      <c r="G6" s="75">
        <f>G5/G4</f>
        <v>603.17460317460313</v>
      </c>
      <c r="H6" s="163"/>
      <c r="J6" s="27"/>
      <c r="K6" s="27"/>
      <c r="L6" s="27"/>
      <c r="M6" s="27"/>
    </row>
    <row r="7" spans="1:13" ht="15.5" x14ac:dyDescent="0.35">
      <c r="A7" s="240" t="s">
        <v>37</v>
      </c>
      <c r="B7" s="28" t="s">
        <v>34</v>
      </c>
      <c r="C7" s="126">
        <v>11</v>
      </c>
      <c r="D7" s="69">
        <v>34.659999999999997</v>
      </c>
      <c r="E7" s="99">
        <v>11.4</v>
      </c>
      <c r="F7" s="105">
        <v>8.3572751000000007</v>
      </c>
      <c r="G7" s="131">
        <v>9.5500000000000007</v>
      </c>
      <c r="H7" s="163"/>
      <c r="J7" s="27"/>
      <c r="K7" s="27"/>
      <c r="L7" s="27"/>
      <c r="M7" s="27"/>
    </row>
    <row r="8" spans="1:13" ht="15.5" x14ac:dyDescent="0.35">
      <c r="A8" s="240"/>
      <c r="B8" s="29" t="s">
        <v>35</v>
      </c>
      <c r="C8" s="126">
        <v>6000</v>
      </c>
      <c r="D8" s="69">
        <f>12.31*1000</f>
        <v>12310</v>
      </c>
      <c r="E8" s="99">
        <f>3.86*1000</f>
        <v>3860</v>
      </c>
      <c r="F8" s="115">
        <f>4.34574316*1000</f>
        <v>4345.74316</v>
      </c>
      <c r="G8" s="131">
        <f>5.17*1000</f>
        <v>5170</v>
      </c>
      <c r="H8" s="163"/>
      <c r="J8" s="27"/>
      <c r="K8" s="27"/>
      <c r="L8" s="27"/>
      <c r="M8" s="27"/>
    </row>
    <row r="9" spans="1:13" ht="15.5" x14ac:dyDescent="0.35">
      <c r="A9" s="240"/>
      <c r="B9" s="31" t="s">
        <v>36</v>
      </c>
      <c r="C9" s="72">
        <v>526</v>
      </c>
      <c r="D9" s="71">
        <f>D8/D7</f>
        <v>355.16445470282753</v>
      </c>
      <c r="E9" s="75">
        <f>E8/E7</f>
        <v>338.59649122807019</v>
      </c>
      <c r="F9" s="75">
        <f>F8/F7</f>
        <v>519.99522667382337</v>
      </c>
      <c r="G9" s="75">
        <f>G8/G7</f>
        <v>541.36125654450257</v>
      </c>
      <c r="H9" s="164"/>
      <c r="J9" s="27"/>
      <c r="K9" s="27"/>
      <c r="L9" s="27"/>
      <c r="M9" s="27"/>
    </row>
    <row r="10" spans="1:13" ht="15.5" x14ac:dyDescent="0.35">
      <c r="A10" s="242" t="s">
        <v>204</v>
      </c>
      <c r="B10" s="28" t="s">
        <v>34</v>
      </c>
      <c r="C10" s="73">
        <v>28</v>
      </c>
      <c r="D10" s="69">
        <f>27.13+11.43</f>
        <v>38.56</v>
      </c>
      <c r="E10" s="99">
        <f>27.26+14.41</f>
        <v>41.67</v>
      </c>
      <c r="F10" s="105">
        <f>26.9448796+9</f>
        <v>35.9448796</v>
      </c>
      <c r="G10" s="108">
        <f>6.43+8.3</f>
        <v>14.73</v>
      </c>
      <c r="H10" s="165"/>
      <c r="J10" s="27"/>
      <c r="K10" s="27"/>
      <c r="L10" s="27"/>
      <c r="M10" s="27"/>
    </row>
    <row r="11" spans="1:13" ht="15.5" x14ac:dyDescent="0.35">
      <c r="A11" s="242"/>
      <c r="B11" s="29" t="s">
        <v>35</v>
      </c>
      <c r="C11" s="75">
        <v>41000</v>
      </c>
      <c r="D11" s="69">
        <f>(31.74+5.27)*1000</f>
        <v>37010</v>
      </c>
      <c r="E11" s="99">
        <f>(32.62+3.97)*1000</f>
        <v>36589.999999999993</v>
      </c>
      <c r="F11" s="74">
        <f>(37.7+ 5.17)*1000</f>
        <v>42870.000000000007</v>
      </c>
      <c r="G11" s="75">
        <f>(1.43+7.84)*1000</f>
        <v>9270</v>
      </c>
      <c r="H11" s="166"/>
      <c r="J11" s="27"/>
      <c r="K11" s="27"/>
      <c r="L11" s="27"/>
      <c r="M11" s="27"/>
    </row>
    <row r="12" spans="1:13" ht="15.5" x14ac:dyDescent="0.35">
      <c r="A12" s="242"/>
      <c r="B12" s="31" t="s">
        <v>36</v>
      </c>
      <c r="C12" s="72">
        <v>1464</v>
      </c>
      <c r="D12" s="71">
        <f>D11/D10</f>
        <v>959.80290456431533</v>
      </c>
      <c r="E12" s="75">
        <f>E11/E10</f>
        <v>878.08975281977416</v>
      </c>
      <c r="F12" s="72">
        <f>F11/F10</f>
        <v>1192.6594407065425</v>
      </c>
      <c r="G12" s="72">
        <f>G11/G10</f>
        <v>629.3279022403259</v>
      </c>
      <c r="H12" s="164"/>
      <c r="J12" s="27"/>
      <c r="K12" s="27"/>
      <c r="L12" s="27"/>
      <c r="M12" s="27"/>
    </row>
    <row r="13" spans="1:13" ht="15.5" x14ac:dyDescent="0.35">
      <c r="A13" s="240" t="s">
        <v>38</v>
      </c>
      <c r="B13" s="28" t="s">
        <v>34</v>
      </c>
      <c r="C13" s="72">
        <v>3964</v>
      </c>
      <c r="D13" s="69">
        <v>2692</v>
      </c>
      <c r="E13" s="129">
        <v>2662.5692079207925</v>
      </c>
      <c r="F13" s="116">
        <v>2165.57140214221</v>
      </c>
      <c r="G13" s="132">
        <v>1550.32</v>
      </c>
      <c r="H13" s="164"/>
      <c r="J13" s="27"/>
      <c r="K13" s="27"/>
      <c r="L13" s="27"/>
      <c r="M13" s="27"/>
    </row>
    <row r="14" spans="1:13" ht="15.5" x14ac:dyDescent="0.35">
      <c r="A14" s="240"/>
      <c r="B14" s="29" t="s">
        <v>35</v>
      </c>
      <c r="C14" s="126">
        <v>4361000</v>
      </c>
      <c r="D14" s="69">
        <f>4554.87*1000</f>
        <v>4554870</v>
      </c>
      <c r="E14" s="130">
        <f>4407.50927085039*1000</f>
        <v>4407509.2708503902</v>
      </c>
      <c r="F14" s="115">
        <f>3436.33563528653*1000</f>
        <v>3436335.63528653</v>
      </c>
      <c r="G14" s="126">
        <f>4204.51*1000</f>
        <v>4204510</v>
      </c>
      <c r="H14" s="163"/>
      <c r="J14" s="27"/>
      <c r="K14" s="27"/>
      <c r="L14" s="27"/>
      <c r="M14" s="27"/>
    </row>
    <row r="15" spans="1:13" ht="15.5" x14ac:dyDescent="0.35">
      <c r="A15" s="240"/>
      <c r="B15" s="31" t="s">
        <v>36</v>
      </c>
      <c r="C15" s="72">
        <v>1100</v>
      </c>
      <c r="D15" s="69">
        <f>D14/D13</f>
        <v>1692.0022288261516</v>
      </c>
      <c r="E15" s="75">
        <f>E14/E13</f>
        <v>1655.3595143137054</v>
      </c>
      <c r="F15" s="114">
        <f>F14/F13</f>
        <v>1586.8032020958831</v>
      </c>
      <c r="G15" s="75">
        <f>G14/G13</f>
        <v>2712.0271943856751</v>
      </c>
      <c r="H15" s="164"/>
      <c r="J15" s="27"/>
      <c r="K15" s="27"/>
      <c r="L15" s="27"/>
      <c r="M15" s="27"/>
    </row>
    <row r="16" spans="1:13" ht="15.5" x14ac:dyDescent="0.35">
      <c r="A16" s="240" t="s">
        <v>39</v>
      </c>
      <c r="B16" s="28" t="s">
        <v>34</v>
      </c>
      <c r="C16" s="126">
        <v>265</v>
      </c>
      <c r="D16" s="69">
        <v>176.64</v>
      </c>
      <c r="E16" s="99">
        <v>152.44</v>
      </c>
      <c r="F16" s="105">
        <v>168.16507250000001</v>
      </c>
      <c r="G16" s="131">
        <v>77.92</v>
      </c>
      <c r="H16" s="163"/>
      <c r="J16" s="27"/>
      <c r="K16" s="27"/>
      <c r="L16" s="27"/>
      <c r="M16" s="27"/>
    </row>
    <row r="17" spans="1:13" ht="15.5" x14ac:dyDescent="0.35">
      <c r="A17" s="240"/>
      <c r="B17" s="29" t="s">
        <v>35</v>
      </c>
      <c r="C17" s="75">
        <v>62000</v>
      </c>
      <c r="D17" s="69">
        <f>76.78*1000</f>
        <v>76780</v>
      </c>
      <c r="E17" s="99">
        <f>54.44*1000</f>
        <v>54440</v>
      </c>
      <c r="F17" s="75">
        <f xml:space="preserve"> 61.1*1000</f>
        <v>61100</v>
      </c>
      <c r="G17" s="131">
        <f>47.37*1000</f>
        <v>47370</v>
      </c>
      <c r="H17" s="166"/>
      <c r="J17" s="27"/>
      <c r="K17" s="27"/>
      <c r="L17" s="27"/>
      <c r="M17" s="27"/>
    </row>
    <row r="18" spans="1:13" ht="15.5" x14ac:dyDescent="0.35">
      <c r="A18" s="240"/>
      <c r="B18" s="31" t="s">
        <v>36</v>
      </c>
      <c r="C18" s="126">
        <v>233</v>
      </c>
      <c r="D18" s="71">
        <f>D17/D16</f>
        <v>434.66938405797106</v>
      </c>
      <c r="E18" s="75">
        <f>E17/E16</f>
        <v>357.1241144056678</v>
      </c>
      <c r="F18" s="113">
        <f>F17/F16</f>
        <v>363.33347401851233</v>
      </c>
      <c r="G18" s="75">
        <f>G17/G16</f>
        <v>607.93121149897331</v>
      </c>
      <c r="H18" s="163"/>
      <c r="J18" s="27"/>
      <c r="K18" s="27"/>
      <c r="L18" s="27"/>
      <c r="M18" s="27"/>
    </row>
    <row r="19" spans="1:13" ht="15.5" x14ac:dyDescent="0.35">
      <c r="A19" s="240" t="s">
        <v>40</v>
      </c>
      <c r="B19" s="28" t="s">
        <v>34</v>
      </c>
      <c r="C19" s="126">
        <v>247</v>
      </c>
      <c r="D19" s="69">
        <v>104.43</v>
      </c>
      <c r="E19" s="99">
        <v>148.34</v>
      </c>
      <c r="F19" s="105">
        <v>124.6212543</v>
      </c>
      <c r="G19" s="131">
        <v>89.92</v>
      </c>
      <c r="H19" s="163"/>
      <c r="J19" s="27"/>
      <c r="K19" s="27"/>
      <c r="L19" s="27"/>
      <c r="M19" s="27"/>
    </row>
    <row r="20" spans="1:13" ht="15.5" x14ac:dyDescent="0.35">
      <c r="A20" s="240"/>
      <c r="B20" s="29" t="s">
        <v>35</v>
      </c>
      <c r="C20" s="75">
        <v>83000</v>
      </c>
      <c r="D20" s="69">
        <f>45.51*1000</f>
        <v>45510</v>
      </c>
      <c r="E20" s="99">
        <f>61.85*1000</f>
        <v>61850</v>
      </c>
      <c r="F20" s="75">
        <f xml:space="preserve"> 66.31*1000</f>
        <v>66310</v>
      </c>
      <c r="G20" s="131">
        <f>48.88*1000</f>
        <v>48880</v>
      </c>
      <c r="H20" s="166"/>
      <c r="J20" s="27"/>
      <c r="K20" s="27"/>
      <c r="L20" s="27"/>
      <c r="M20" s="27"/>
    </row>
    <row r="21" spans="1:13" ht="15.5" x14ac:dyDescent="0.35">
      <c r="A21" s="240"/>
      <c r="B21" s="31" t="s">
        <v>36</v>
      </c>
      <c r="C21" s="126">
        <v>336</v>
      </c>
      <c r="D21" s="71">
        <f>D20/D19</f>
        <v>435.79431197931626</v>
      </c>
      <c r="E21" s="75">
        <f>E20/E19</f>
        <v>416.9475529189699</v>
      </c>
      <c r="F21" s="114">
        <f>F20/F19</f>
        <v>532.09222112603948</v>
      </c>
      <c r="G21" s="75">
        <f>G20/G19</f>
        <v>543.59430604982208</v>
      </c>
      <c r="H21" s="163"/>
      <c r="J21" s="27"/>
      <c r="K21" s="27"/>
      <c r="L21" s="27"/>
      <c r="M21" s="27"/>
    </row>
    <row r="22" spans="1:13" ht="15.5" x14ac:dyDescent="0.35">
      <c r="A22" s="34" t="s">
        <v>217</v>
      </c>
      <c r="B22" s="30"/>
      <c r="C22" s="30"/>
      <c r="D22" s="30"/>
      <c r="E22" s="100"/>
      <c r="F22" s="27"/>
      <c r="G22" s="27"/>
      <c r="H22" s="27"/>
      <c r="I22" s="27"/>
      <c r="J22" s="27"/>
      <c r="K22" s="27"/>
      <c r="L22" s="27"/>
      <c r="M22" s="27"/>
    </row>
  </sheetData>
  <mergeCells count="8">
    <mergeCell ref="A1:I1"/>
    <mergeCell ref="A19:A21"/>
    <mergeCell ref="A3:B3"/>
    <mergeCell ref="A4:A6"/>
    <mergeCell ref="A7:A9"/>
    <mergeCell ref="A10:A12"/>
    <mergeCell ref="A13:A15"/>
    <mergeCell ref="A16:A18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815F3-1644-4E24-AD47-C6D8644369AC}">
  <dimension ref="A1:F90"/>
  <sheetViews>
    <sheetView workbookViewId="0">
      <selection activeCell="C6" sqref="C6"/>
    </sheetView>
  </sheetViews>
  <sheetFormatPr defaultRowHeight="14.5" x14ac:dyDescent="0.35"/>
  <cols>
    <col min="2" max="2" width="44.90625" customWidth="1"/>
    <col min="3" max="3" width="12.6328125" customWidth="1"/>
    <col min="4" max="4" width="12" customWidth="1"/>
    <col min="5" max="5" width="23.36328125" customWidth="1"/>
  </cols>
  <sheetData>
    <row r="1" spans="1:6" ht="15.5" x14ac:dyDescent="0.35">
      <c r="A1" s="239" t="s">
        <v>230</v>
      </c>
      <c r="B1" s="239"/>
      <c r="C1" s="239"/>
      <c r="D1" s="239"/>
      <c r="E1" s="239"/>
      <c r="F1" s="239"/>
    </row>
    <row r="2" spans="1:6" ht="15.5" x14ac:dyDescent="0.35">
      <c r="A2" s="161"/>
      <c r="B2" s="167"/>
      <c r="C2" s="161"/>
      <c r="D2" s="161"/>
      <c r="E2" s="161"/>
      <c r="F2" s="161"/>
    </row>
    <row r="3" spans="1:6" ht="15.5" x14ac:dyDescent="0.35">
      <c r="A3" s="35" t="s">
        <v>41</v>
      </c>
      <c r="B3" s="36" t="s">
        <v>42</v>
      </c>
      <c r="C3" s="217" t="s">
        <v>43</v>
      </c>
      <c r="D3" s="70" t="s">
        <v>44</v>
      </c>
      <c r="E3" s="211" t="s">
        <v>45</v>
      </c>
    </row>
    <row r="4" spans="1:6" ht="15.5" x14ac:dyDescent="0.35">
      <c r="A4" s="214">
        <v>1</v>
      </c>
      <c r="B4" s="228" t="s">
        <v>46</v>
      </c>
      <c r="C4" s="37">
        <v>5</v>
      </c>
      <c r="D4" s="216">
        <v>2012</v>
      </c>
      <c r="E4" s="37" t="s">
        <v>47</v>
      </c>
    </row>
    <row r="5" spans="1:6" ht="15.5" x14ac:dyDescent="0.35">
      <c r="A5" s="214">
        <v>2</v>
      </c>
      <c r="B5" s="228" t="s">
        <v>48</v>
      </c>
      <c r="C5" s="37">
        <v>47</v>
      </c>
      <c r="D5" s="216">
        <v>2013</v>
      </c>
      <c r="E5" s="37" t="s">
        <v>47</v>
      </c>
    </row>
    <row r="6" spans="1:6" ht="15.5" x14ac:dyDescent="0.35">
      <c r="A6" s="214">
        <v>3</v>
      </c>
      <c r="B6" s="228" t="s">
        <v>49</v>
      </c>
      <c r="C6" s="37" t="s">
        <v>224</v>
      </c>
      <c r="D6" s="216">
        <v>2013</v>
      </c>
      <c r="E6" s="37" t="s">
        <v>47</v>
      </c>
      <c r="F6" t="s">
        <v>233</v>
      </c>
    </row>
    <row r="7" spans="1:6" ht="15.5" x14ac:dyDescent="0.35">
      <c r="A7" s="214">
        <v>4</v>
      </c>
      <c r="B7" s="228" t="s">
        <v>50</v>
      </c>
      <c r="C7" s="37">
        <v>28</v>
      </c>
      <c r="D7" s="216">
        <v>2014</v>
      </c>
      <c r="E7" s="37" t="s">
        <v>47</v>
      </c>
    </row>
    <row r="8" spans="1:6" ht="15.5" x14ac:dyDescent="0.35">
      <c r="A8" s="214">
        <v>5</v>
      </c>
      <c r="B8" s="228" t="s">
        <v>51</v>
      </c>
      <c r="C8" s="37">
        <v>55</v>
      </c>
      <c r="D8" s="216">
        <v>2014</v>
      </c>
      <c r="E8" s="37" t="s">
        <v>47</v>
      </c>
    </row>
    <row r="9" spans="1:6" ht="15.5" x14ac:dyDescent="0.35">
      <c r="A9" s="214">
        <v>6</v>
      </c>
      <c r="B9" s="228" t="s">
        <v>52</v>
      </c>
      <c r="C9" s="37">
        <v>19</v>
      </c>
      <c r="D9" s="216">
        <v>2014</v>
      </c>
      <c r="E9" s="37" t="s">
        <v>47</v>
      </c>
    </row>
    <row r="10" spans="1:6" ht="15.5" x14ac:dyDescent="0.35">
      <c r="A10" s="214">
        <v>7</v>
      </c>
      <c r="B10" s="216" t="s">
        <v>53</v>
      </c>
      <c r="C10" s="37">
        <v>53</v>
      </c>
      <c r="D10" s="216">
        <v>2002</v>
      </c>
      <c r="E10" s="37" t="s">
        <v>54</v>
      </c>
    </row>
    <row r="11" spans="1:6" ht="15.5" x14ac:dyDescent="0.35">
      <c r="A11" s="214">
        <v>8</v>
      </c>
      <c r="B11" s="216" t="s">
        <v>55</v>
      </c>
      <c r="C11" s="37">
        <v>11</v>
      </c>
      <c r="D11" s="216">
        <v>2011</v>
      </c>
      <c r="E11" s="37" t="s">
        <v>54</v>
      </c>
    </row>
    <row r="12" spans="1:6" ht="15.5" x14ac:dyDescent="0.35">
      <c r="A12" s="214">
        <v>9</v>
      </c>
      <c r="B12" s="216" t="s">
        <v>56</v>
      </c>
      <c r="C12" s="37">
        <v>50</v>
      </c>
      <c r="D12" s="216">
        <v>2013</v>
      </c>
      <c r="E12" s="37" t="s">
        <v>54</v>
      </c>
    </row>
    <row r="13" spans="1:6" ht="15.5" x14ac:dyDescent="0.35">
      <c r="A13" s="214">
        <v>10</v>
      </c>
      <c r="B13" s="216" t="s">
        <v>57</v>
      </c>
      <c r="C13" s="37">
        <v>44</v>
      </c>
      <c r="D13" s="216">
        <v>2012</v>
      </c>
      <c r="E13" s="37" t="s">
        <v>54</v>
      </c>
    </row>
    <row r="14" spans="1:6" ht="15.5" x14ac:dyDescent="0.35">
      <c r="A14" s="214">
        <v>11</v>
      </c>
      <c r="B14" s="216" t="s">
        <v>58</v>
      </c>
      <c r="C14" s="37">
        <v>63</v>
      </c>
      <c r="D14" s="216">
        <v>2012</v>
      </c>
      <c r="E14" s="37" t="s">
        <v>54</v>
      </c>
    </row>
    <row r="15" spans="1:6" ht="15.5" x14ac:dyDescent="0.35">
      <c r="A15" s="214">
        <v>12</v>
      </c>
      <c r="B15" s="216" t="s">
        <v>59</v>
      </c>
      <c r="C15" s="37">
        <v>12</v>
      </c>
      <c r="D15" s="216">
        <v>2011</v>
      </c>
      <c r="E15" s="37" t="s">
        <v>54</v>
      </c>
    </row>
    <row r="16" spans="1:6" ht="15.5" x14ac:dyDescent="0.35">
      <c r="A16" s="214">
        <v>13</v>
      </c>
      <c r="B16" s="216" t="s">
        <v>60</v>
      </c>
      <c r="C16" s="37">
        <v>13</v>
      </c>
      <c r="D16" s="216" t="s">
        <v>23</v>
      </c>
      <c r="E16" s="37" t="s">
        <v>54</v>
      </c>
    </row>
    <row r="17" spans="1:5" ht="15.5" x14ac:dyDescent="0.35">
      <c r="A17" s="214">
        <v>14</v>
      </c>
      <c r="B17" s="216" t="s">
        <v>61</v>
      </c>
      <c r="C17" s="37">
        <v>40</v>
      </c>
      <c r="D17" s="216" t="s">
        <v>23</v>
      </c>
      <c r="E17" s="37" t="s">
        <v>54</v>
      </c>
    </row>
    <row r="18" spans="1:5" ht="15.5" x14ac:dyDescent="0.35">
      <c r="A18" s="214">
        <v>15</v>
      </c>
      <c r="B18" s="216" t="s">
        <v>62</v>
      </c>
      <c r="C18" s="37" t="s">
        <v>23</v>
      </c>
      <c r="D18" s="216">
        <v>2012</v>
      </c>
      <c r="E18" s="37" t="s">
        <v>54</v>
      </c>
    </row>
    <row r="19" spans="1:5" ht="15.5" x14ac:dyDescent="0.35">
      <c r="A19" s="214">
        <v>16</v>
      </c>
      <c r="B19" s="216" t="s">
        <v>63</v>
      </c>
      <c r="C19" s="37" t="s">
        <v>23</v>
      </c>
      <c r="D19" s="216" t="s">
        <v>23</v>
      </c>
      <c r="E19" s="37" t="s">
        <v>54</v>
      </c>
    </row>
    <row r="20" spans="1:5" ht="15.5" x14ac:dyDescent="0.35">
      <c r="A20" s="214">
        <v>17</v>
      </c>
      <c r="B20" s="216" t="s">
        <v>64</v>
      </c>
      <c r="C20" s="37">
        <v>34</v>
      </c>
      <c r="D20" s="216">
        <v>2011</v>
      </c>
      <c r="E20" s="37" t="s">
        <v>54</v>
      </c>
    </row>
    <row r="21" spans="1:5" ht="15.5" x14ac:dyDescent="0.35">
      <c r="A21" s="214">
        <v>18</v>
      </c>
      <c r="B21" s="216" t="s">
        <v>65</v>
      </c>
      <c r="C21" s="37" t="s">
        <v>23</v>
      </c>
      <c r="D21" s="216" t="s">
        <v>23</v>
      </c>
      <c r="E21" s="37" t="s">
        <v>54</v>
      </c>
    </row>
    <row r="22" spans="1:5" x14ac:dyDescent="0.35">
      <c r="A22" s="214">
        <v>19</v>
      </c>
      <c r="B22" s="214" t="s">
        <v>66</v>
      </c>
      <c r="C22" s="212">
        <v>15</v>
      </c>
      <c r="D22" s="214" t="s">
        <v>67</v>
      </c>
      <c r="E22" s="212" t="s">
        <v>68</v>
      </c>
    </row>
    <row r="23" spans="1:5" x14ac:dyDescent="0.35">
      <c r="A23" s="214">
        <v>20</v>
      </c>
      <c r="B23" s="214" t="s">
        <v>69</v>
      </c>
      <c r="C23" s="212">
        <v>23</v>
      </c>
      <c r="D23" s="214">
        <v>2012</v>
      </c>
      <c r="E23" s="212" t="s">
        <v>68</v>
      </c>
    </row>
    <row r="24" spans="1:5" x14ac:dyDescent="0.35">
      <c r="A24" s="214">
        <v>21</v>
      </c>
      <c r="B24" s="214" t="s">
        <v>70</v>
      </c>
      <c r="C24" s="212">
        <v>85</v>
      </c>
      <c r="D24" s="214" t="s">
        <v>71</v>
      </c>
      <c r="E24" s="212" t="s">
        <v>68</v>
      </c>
    </row>
    <row r="25" spans="1:5" x14ac:dyDescent="0.35">
      <c r="A25" s="214">
        <v>22</v>
      </c>
      <c r="B25" s="214" t="s">
        <v>72</v>
      </c>
      <c r="C25" s="212">
        <v>10</v>
      </c>
      <c r="D25" s="214" t="s">
        <v>73</v>
      </c>
      <c r="E25" s="212" t="s">
        <v>68</v>
      </c>
    </row>
    <row r="26" spans="1:5" x14ac:dyDescent="0.35">
      <c r="A26" s="214">
        <v>23</v>
      </c>
      <c r="B26" s="214" t="s">
        <v>74</v>
      </c>
      <c r="C26" s="212">
        <v>7</v>
      </c>
      <c r="D26" s="214" t="s">
        <v>71</v>
      </c>
      <c r="E26" s="212" t="s">
        <v>68</v>
      </c>
    </row>
    <row r="27" spans="1:5" x14ac:dyDescent="0.35">
      <c r="A27" s="214">
        <v>24</v>
      </c>
      <c r="B27" s="214" t="s">
        <v>75</v>
      </c>
      <c r="C27" s="212">
        <v>6</v>
      </c>
      <c r="D27" s="214" t="s">
        <v>71</v>
      </c>
      <c r="E27" s="212" t="s">
        <v>68</v>
      </c>
    </row>
    <row r="28" spans="1:5" x14ac:dyDescent="0.35">
      <c r="A28" s="214">
        <v>25</v>
      </c>
      <c r="B28" s="214" t="s">
        <v>76</v>
      </c>
      <c r="C28" s="212">
        <v>20</v>
      </c>
      <c r="D28" s="214" t="s">
        <v>71</v>
      </c>
      <c r="E28" s="212" t="s">
        <v>68</v>
      </c>
    </row>
    <row r="29" spans="1:5" x14ac:dyDescent="0.35">
      <c r="A29" s="214">
        <v>26</v>
      </c>
      <c r="B29" s="214" t="s">
        <v>77</v>
      </c>
      <c r="C29" s="212">
        <v>15</v>
      </c>
      <c r="D29" s="214" t="s">
        <v>71</v>
      </c>
      <c r="E29" s="212" t="s">
        <v>68</v>
      </c>
    </row>
    <row r="30" spans="1:5" x14ac:dyDescent="0.35">
      <c r="A30" s="214">
        <v>27</v>
      </c>
      <c r="B30" s="214" t="s">
        <v>78</v>
      </c>
      <c r="C30" s="212">
        <v>31</v>
      </c>
      <c r="D30" s="214" t="s">
        <v>71</v>
      </c>
      <c r="E30" s="212" t="s">
        <v>68</v>
      </c>
    </row>
    <row r="31" spans="1:5" x14ac:dyDescent="0.35">
      <c r="A31" s="214">
        <v>28</v>
      </c>
      <c r="B31" s="214" t="s">
        <v>79</v>
      </c>
      <c r="C31" s="212">
        <v>34</v>
      </c>
      <c r="D31" s="214" t="s">
        <v>71</v>
      </c>
      <c r="E31" s="212" t="s">
        <v>68</v>
      </c>
    </row>
    <row r="32" spans="1:5" x14ac:dyDescent="0.35">
      <c r="A32" s="214">
        <v>29</v>
      </c>
      <c r="B32" s="214" t="s">
        <v>80</v>
      </c>
      <c r="C32" s="212">
        <v>13</v>
      </c>
      <c r="D32" s="214" t="s">
        <v>71</v>
      </c>
      <c r="E32" s="212" t="s">
        <v>68</v>
      </c>
    </row>
    <row r="33" spans="1:5" x14ac:dyDescent="0.35">
      <c r="A33" s="214">
        <v>30</v>
      </c>
      <c r="B33" s="214" t="s">
        <v>81</v>
      </c>
      <c r="C33" s="212">
        <v>25</v>
      </c>
      <c r="D33" s="214" t="s">
        <v>71</v>
      </c>
      <c r="E33" s="212" t="s">
        <v>68</v>
      </c>
    </row>
    <row r="34" spans="1:5" x14ac:dyDescent="0.35">
      <c r="A34" s="214">
        <v>31</v>
      </c>
      <c r="B34" s="214" t="s">
        <v>82</v>
      </c>
      <c r="C34" s="212">
        <v>94</v>
      </c>
      <c r="D34" s="214" t="s">
        <v>71</v>
      </c>
      <c r="E34" s="212" t="s">
        <v>68</v>
      </c>
    </row>
    <row r="35" spans="1:5" x14ac:dyDescent="0.35">
      <c r="A35" s="214">
        <v>32</v>
      </c>
      <c r="B35" s="214" t="s">
        <v>83</v>
      </c>
      <c r="C35" s="212">
        <v>83</v>
      </c>
      <c r="D35" s="214" t="s">
        <v>73</v>
      </c>
      <c r="E35" s="212" t="s">
        <v>68</v>
      </c>
    </row>
    <row r="36" spans="1:5" x14ac:dyDescent="0.35">
      <c r="A36" s="214">
        <v>33</v>
      </c>
      <c r="B36" s="214" t="s">
        <v>84</v>
      </c>
      <c r="C36" s="212">
        <v>7</v>
      </c>
      <c r="D36" s="214" t="s">
        <v>73</v>
      </c>
      <c r="E36" s="212" t="s">
        <v>68</v>
      </c>
    </row>
    <row r="37" spans="1:5" x14ac:dyDescent="0.35">
      <c r="A37" s="214">
        <v>34</v>
      </c>
      <c r="B37" s="214" t="s">
        <v>85</v>
      </c>
      <c r="C37" s="212">
        <v>12</v>
      </c>
      <c r="D37" s="214" t="s">
        <v>71</v>
      </c>
      <c r="E37" s="212" t="s">
        <v>68</v>
      </c>
    </row>
    <row r="38" spans="1:5" x14ac:dyDescent="0.35">
      <c r="A38" s="214">
        <v>35</v>
      </c>
      <c r="B38" s="214" t="s">
        <v>86</v>
      </c>
      <c r="C38" s="212">
        <v>5</v>
      </c>
      <c r="D38" s="214" t="s">
        <v>87</v>
      </c>
      <c r="E38" s="212" t="s">
        <v>68</v>
      </c>
    </row>
    <row r="39" spans="1:5" x14ac:dyDescent="0.35">
      <c r="A39" s="214">
        <v>36</v>
      </c>
      <c r="B39" s="214" t="s">
        <v>88</v>
      </c>
      <c r="C39" s="212">
        <v>8</v>
      </c>
      <c r="D39" s="214" t="s">
        <v>89</v>
      </c>
      <c r="E39" s="212" t="s">
        <v>68</v>
      </c>
    </row>
    <row r="40" spans="1:5" x14ac:dyDescent="0.35">
      <c r="A40" s="214">
        <v>37</v>
      </c>
      <c r="B40" s="214" t="s">
        <v>90</v>
      </c>
      <c r="C40" s="212">
        <v>61</v>
      </c>
      <c r="D40" s="214" t="s">
        <v>87</v>
      </c>
      <c r="E40" s="212" t="s">
        <v>68</v>
      </c>
    </row>
    <row r="41" spans="1:5" x14ac:dyDescent="0.35">
      <c r="A41" s="214">
        <v>38</v>
      </c>
      <c r="B41" s="214" t="s">
        <v>91</v>
      </c>
      <c r="C41" s="212">
        <v>66</v>
      </c>
      <c r="D41" s="214" t="s">
        <v>87</v>
      </c>
      <c r="E41" s="212" t="s">
        <v>68</v>
      </c>
    </row>
    <row r="42" spans="1:5" x14ac:dyDescent="0.35">
      <c r="A42" s="214">
        <v>39</v>
      </c>
      <c r="B42" s="214" t="s">
        <v>92</v>
      </c>
      <c r="C42" s="212">
        <v>29</v>
      </c>
      <c r="D42" s="214" t="s">
        <v>87</v>
      </c>
      <c r="E42" s="212" t="s">
        <v>68</v>
      </c>
    </row>
    <row r="43" spans="1:5" x14ac:dyDescent="0.35">
      <c r="A43" s="214">
        <v>40</v>
      </c>
      <c r="B43" s="214" t="s">
        <v>93</v>
      </c>
      <c r="C43" s="212">
        <v>53</v>
      </c>
      <c r="D43" s="214" t="s">
        <v>87</v>
      </c>
      <c r="E43" s="212" t="s">
        <v>68</v>
      </c>
    </row>
    <row r="44" spans="1:5" x14ac:dyDescent="0.35">
      <c r="A44" s="214">
        <v>41</v>
      </c>
      <c r="B44" s="214" t="s">
        <v>94</v>
      </c>
      <c r="C44" s="212">
        <v>31</v>
      </c>
      <c r="D44" s="214" t="s">
        <v>87</v>
      </c>
      <c r="E44" s="212" t="s">
        <v>68</v>
      </c>
    </row>
    <row r="45" spans="1:5" x14ac:dyDescent="0.35">
      <c r="A45" s="214">
        <v>42</v>
      </c>
      <c r="B45" s="214" t="s">
        <v>95</v>
      </c>
      <c r="C45" s="212">
        <v>130</v>
      </c>
      <c r="D45" s="214" t="s">
        <v>87</v>
      </c>
      <c r="E45" s="212" t="s">
        <v>68</v>
      </c>
    </row>
    <row r="46" spans="1:5" x14ac:dyDescent="0.35">
      <c r="A46" s="214">
        <v>43</v>
      </c>
      <c r="B46" s="214" t="s">
        <v>96</v>
      </c>
      <c r="C46" s="212">
        <v>29</v>
      </c>
      <c r="D46" s="214" t="s">
        <v>89</v>
      </c>
      <c r="E46" s="212" t="s">
        <v>68</v>
      </c>
    </row>
    <row r="47" spans="1:5" x14ac:dyDescent="0.35">
      <c r="A47" s="214">
        <v>44</v>
      </c>
      <c r="B47" s="214" t="s">
        <v>97</v>
      </c>
      <c r="C47" s="212">
        <v>49</v>
      </c>
      <c r="D47" s="214" t="s">
        <v>89</v>
      </c>
      <c r="E47" s="212" t="s">
        <v>68</v>
      </c>
    </row>
    <row r="48" spans="1:5" x14ac:dyDescent="0.35">
      <c r="A48" s="214">
        <v>45</v>
      </c>
      <c r="B48" s="214" t="s">
        <v>98</v>
      </c>
      <c r="C48" s="212">
        <v>12</v>
      </c>
      <c r="D48" s="214" t="s">
        <v>89</v>
      </c>
      <c r="E48" s="212" t="s">
        <v>68</v>
      </c>
    </row>
    <row r="49" spans="1:5" x14ac:dyDescent="0.35">
      <c r="A49" s="214">
        <v>46</v>
      </c>
      <c r="B49" s="214" t="s">
        <v>99</v>
      </c>
      <c r="C49" s="212">
        <v>30</v>
      </c>
      <c r="D49" s="214" t="s">
        <v>89</v>
      </c>
      <c r="E49" s="212" t="s">
        <v>68</v>
      </c>
    </row>
    <row r="50" spans="1:5" x14ac:dyDescent="0.35">
      <c r="A50" s="214">
        <v>47</v>
      </c>
      <c r="B50" s="214" t="s">
        <v>100</v>
      </c>
      <c r="C50" s="212">
        <v>52</v>
      </c>
      <c r="D50" s="214" t="s">
        <v>89</v>
      </c>
      <c r="E50" s="212" t="s">
        <v>68</v>
      </c>
    </row>
    <row r="51" spans="1:5" x14ac:dyDescent="0.35">
      <c r="A51" s="214">
        <v>48</v>
      </c>
      <c r="B51" s="214" t="s">
        <v>101</v>
      </c>
      <c r="C51" s="212">
        <v>48</v>
      </c>
      <c r="D51" s="214" t="s">
        <v>87</v>
      </c>
      <c r="E51" s="212" t="s">
        <v>68</v>
      </c>
    </row>
    <row r="52" spans="1:5" x14ac:dyDescent="0.35">
      <c r="A52" s="214">
        <v>49</v>
      </c>
      <c r="B52" s="214" t="s">
        <v>102</v>
      </c>
      <c r="C52" s="212">
        <v>43</v>
      </c>
      <c r="D52" s="214" t="s">
        <v>89</v>
      </c>
      <c r="E52" s="212" t="s">
        <v>68</v>
      </c>
    </row>
    <row r="53" spans="1:5" x14ac:dyDescent="0.35">
      <c r="A53" s="214">
        <v>50</v>
      </c>
      <c r="B53" s="214" t="s">
        <v>103</v>
      </c>
      <c r="C53" s="212">
        <v>11</v>
      </c>
      <c r="D53" s="214">
        <v>2003</v>
      </c>
      <c r="E53" s="212" t="s">
        <v>68</v>
      </c>
    </row>
    <row r="54" spans="1:5" x14ac:dyDescent="0.35">
      <c r="A54" s="214">
        <v>51</v>
      </c>
      <c r="B54" s="214" t="s">
        <v>104</v>
      </c>
      <c r="C54" s="212">
        <v>20</v>
      </c>
      <c r="D54" s="214">
        <v>2007</v>
      </c>
      <c r="E54" s="212" t="s">
        <v>68</v>
      </c>
    </row>
    <row r="55" spans="1:5" x14ac:dyDescent="0.35">
      <c r="A55" s="214">
        <v>52</v>
      </c>
      <c r="B55" s="214" t="s">
        <v>105</v>
      </c>
      <c r="C55" s="212">
        <v>20</v>
      </c>
      <c r="D55" s="214">
        <v>2006</v>
      </c>
      <c r="E55" s="212" t="s">
        <v>68</v>
      </c>
    </row>
    <row r="56" spans="1:5" x14ac:dyDescent="0.35">
      <c r="A56" s="214">
        <v>53</v>
      </c>
      <c r="B56" s="214" t="s">
        <v>106</v>
      </c>
      <c r="C56" s="212">
        <v>22</v>
      </c>
      <c r="D56" s="214" t="s">
        <v>71</v>
      </c>
      <c r="E56" s="212" t="s">
        <v>68</v>
      </c>
    </row>
    <row r="57" spans="1:5" x14ac:dyDescent="0.35">
      <c r="A57" s="214">
        <v>54</v>
      </c>
      <c r="B57" s="214" t="s">
        <v>107</v>
      </c>
      <c r="C57" s="212">
        <v>33</v>
      </c>
      <c r="D57" s="214" t="s">
        <v>71</v>
      </c>
      <c r="E57" s="212" t="s">
        <v>68</v>
      </c>
    </row>
    <row r="58" spans="1:5" x14ac:dyDescent="0.35">
      <c r="A58" s="214">
        <v>55</v>
      </c>
      <c r="B58" s="214" t="s">
        <v>108</v>
      </c>
      <c r="C58" s="212">
        <v>23</v>
      </c>
      <c r="D58" s="214" t="s">
        <v>71</v>
      </c>
      <c r="E58" s="212" t="s">
        <v>68</v>
      </c>
    </row>
    <row r="59" spans="1:5" x14ac:dyDescent="0.35">
      <c r="A59" s="214">
        <v>56</v>
      </c>
      <c r="B59" s="214" t="s">
        <v>109</v>
      </c>
      <c r="C59" s="212">
        <v>14</v>
      </c>
      <c r="D59" s="214" t="s">
        <v>71</v>
      </c>
      <c r="E59" s="212" t="s">
        <v>68</v>
      </c>
    </row>
    <row r="60" spans="1:5" x14ac:dyDescent="0.35">
      <c r="A60" s="214">
        <v>57</v>
      </c>
      <c r="B60" s="214" t="s">
        <v>110</v>
      </c>
      <c r="C60" s="212">
        <v>46</v>
      </c>
      <c r="D60" s="214" t="s">
        <v>71</v>
      </c>
      <c r="E60" s="212" t="s">
        <v>68</v>
      </c>
    </row>
    <row r="61" spans="1:5" x14ac:dyDescent="0.35">
      <c r="A61" s="214">
        <v>58</v>
      </c>
      <c r="B61" s="214" t="s">
        <v>111</v>
      </c>
      <c r="C61" s="212">
        <v>41</v>
      </c>
      <c r="D61" s="214">
        <v>2015</v>
      </c>
      <c r="E61" s="212" t="s">
        <v>68</v>
      </c>
    </row>
    <row r="62" spans="1:5" x14ac:dyDescent="0.35">
      <c r="A62" s="214">
        <v>59</v>
      </c>
      <c r="B62" s="214" t="s">
        <v>111</v>
      </c>
      <c r="C62" s="212">
        <v>46</v>
      </c>
      <c r="D62" s="214">
        <v>2016</v>
      </c>
      <c r="E62" s="212" t="s">
        <v>68</v>
      </c>
    </row>
    <row r="63" spans="1:5" x14ac:dyDescent="0.35">
      <c r="A63" s="214">
        <v>60</v>
      </c>
      <c r="B63" s="214" t="s">
        <v>111</v>
      </c>
      <c r="C63" s="212">
        <v>18</v>
      </c>
      <c r="D63" s="214">
        <v>2014</v>
      </c>
      <c r="E63" s="212" t="s">
        <v>68</v>
      </c>
    </row>
    <row r="64" spans="1:5" x14ac:dyDescent="0.35">
      <c r="A64" s="214">
        <v>61</v>
      </c>
      <c r="B64" s="214" t="s">
        <v>111</v>
      </c>
      <c r="C64" s="212">
        <v>100</v>
      </c>
      <c r="D64" s="214">
        <v>2007</v>
      </c>
      <c r="E64" s="212" t="s">
        <v>68</v>
      </c>
    </row>
    <row r="65" spans="1:5" x14ac:dyDescent="0.35">
      <c r="A65" s="214">
        <v>62</v>
      </c>
      <c r="B65" s="214" t="s">
        <v>112</v>
      </c>
      <c r="C65" s="212">
        <v>93</v>
      </c>
      <c r="D65" s="214" t="s">
        <v>71</v>
      </c>
      <c r="E65" s="212" t="s">
        <v>68</v>
      </c>
    </row>
    <row r="66" spans="1:5" x14ac:dyDescent="0.35">
      <c r="A66" s="214">
        <v>63</v>
      </c>
      <c r="B66" s="214" t="s">
        <v>113</v>
      </c>
      <c r="C66" s="212">
        <v>46</v>
      </c>
      <c r="D66" s="214" t="s">
        <v>114</v>
      </c>
      <c r="E66" s="212" t="s">
        <v>68</v>
      </c>
    </row>
    <row r="67" spans="1:5" x14ac:dyDescent="0.35">
      <c r="A67" s="214">
        <v>64</v>
      </c>
      <c r="B67" s="214" t="s">
        <v>115</v>
      </c>
      <c r="C67" s="212">
        <v>19</v>
      </c>
      <c r="D67" s="214">
        <v>2014</v>
      </c>
      <c r="E67" s="212" t="s">
        <v>68</v>
      </c>
    </row>
    <row r="68" spans="1:5" x14ac:dyDescent="0.35">
      <c r="A68" s="214">
        <v>65</v>
      </c>
      <c r="B68" s="214" t="s">
        <v>116</v>
      </c>
      <c r="C68" s="212">
        <v>36</v>
      </c>
      <c r="D68" s="214">
        <v>2015</v>
      </c>
      <c r="E68" s="212" t="s">
        <v>68</v>
      </c>
    </row>
    <row r="69" spans="1:5" x14ac:dyDescent="0.35">
      <c r="A69" s="214">
        <v>66</v>
      </c>
      <c r="B69" s="214" t="s">
        <v>117</v>
      </c>
      <c r="C69" s="212">
        <v>46</v>
      </c>
      <c r="D69" s="214">
        <v>2016</v>
      </c>
      <c r="E69" s="212" t="s">
        <v>68</v>
      </c>
    </row>
    <row r="70" spans="1:5" x14ac:dyDescent="0.35">
      <c r="A70" s="214">
        <v>67</v>
      </c>
      <c r="B70" s="214" t="s">
        <v>118</v>
      </c>
      <c r="C70" s="212">
        <v>27</v>
      </c>
      <c r="D70" s="214" t="s">
        <v>119</v>
      </c>
      <c r="E70" s="212" t="s">
        <v>68</v>
      </c>
    </row>
    <row r="71" spans="1:5" x14ac:dyDescent="0.35">
      <c r="A71" s="214">
        <v>68</v>
      </c>
      <c r="B71" s="214" t="s">
        <v>120</v>
      </c>
      <c r="C71" s="212">
        <v>35</v>
      </c>
      <c r="D71" s="214" t="s">
        <v>121</v>
      </c>
      <c r="E71" s="212" t="s">
        <v>68</v>
      </c>
    </row>
    <row r="72" spans="1:5" x14ac:dyDescent="0.35">
      <c r="A72" s="214">
        <v>69</v>
      </c>
      <c r="B72" s="214" t="s">
        <v>122</v>
      </c>
      <c r="C72" s="212">
        <v>14</v>
      </c>
      <c r="D72" s="214" t="s">
        <v>123</v>
      </c>
      <c r="E72" s="212" t="s">
        <v>68</v>
      </c>
    </row>
    <row r="73" spans="1:5" x14ac:dyDescent="0.35">
      <c r="A73" s="214">
        <v>70</v>
      </c>
      <c r="B73" s="214" t="s">
        <v>124</v>
      </c>
      <c r="C73" s="212">
        <v>23</v>
      </c>
      <c r="D73" s="214" t="s">
        <v>125</v>
      </c>
      <c r="E73" s="212" t="s">
        <v>68</v>
      </c>
    </row>
    <row r="74" spans="1:5" x14ac:dyDescent="0.35">
      <c r="A74" s="214">
        <v>71</v>
      </c>
      <c r="B74" s="214" t="s">
        <v>126</v>
      </c>
      <c r="C74" s="212">
        <v>16</v>
      </c>
      <c r="D74" s="214" t="s">
        <v>125</v>
      </c>
      <c r="E74" s="212" t="s">
        <v>68</v>
      </c>
    </row>
    <row r="75" spans="1:5" x14ac:dyDescent="0.35">
      <c r="A75" s="214">
        <v>72</v>
      </c>
      <c r="B75" s="214" t="s">
        <v>127</v>
      </c>
      <c r="C75" s="212">
        <v>102</v>
      </c>
      <c r="D75" s="214">
        <v>2012</v>
      </c>
      <c r="E75" s="212" t="s">
        <v>68</v>
      </c>
    </row>
    <row r="76" spans="1:5" x14ac:dyDescent="0.35">
      <c r="A76" s="214">
        <v>73</v>
      </c>
      <c r="B76" s="214" t="s">
        <v>128</v>
      </c>
      <c r="C76" s="212">
        <v>15</v>
      </c>
      <c r="D76" s="214" t="s">
        <v>71</v>
      </c>
      <c r="E76" s="212" t="s">
        <v>68</v>
      </c>
    </row>
    <row r="77" spans="1:5" x14ac:dyDescent="0.35">
      <c r="A77" s="214">
        <v>74</v>
      </c>
      <c r="B77" s="214" t="s">
        <v>129</v>
      </c>
      <c r="C77" s="212">
        <v>9</v>
      </c>
      <c r="D77" s="214" t="s">
        <v>71</v>
      </c>
      <c r="E77" s="212" t="s">
        <v>68</v>
      </c>
    </row>
    <row r="78" spans="1:5" x14ac:dyDescent="0.35">
      <c r="A78" s="214">
        <v>75</v>
      </c>
      <c r="B78" s="214" t="s">
        <v>130</v>
      </c>
      <c r="C78" s="212">
        <v>14</v>
      </c>
      <c r="D78" s="214" t="s">
        <v>71</v>
      </c>
      <c r="E78" s="212" t="s">
        <v>68</v>
      </c>
    </row>
    <row r="79" spans="1:5" x14ac:dyDescent="0.35">
      <c r="A79" s="214">
        <v>76</v>
      </c>
      <c r="B79" s="214" t="s">
        <v>131</v>
      </c>
      <c r="C79" s="212">
        <v>10</v>
      </c>
      <c r="D79" s="214" t="s">
        <v>71</v>
      </c>
      <c r="E79" s="212" t="s">
        <v>68</v>
      </c>
    </row>
    <row r="80" spans="1:5" x14ac:dyDescent="0.35">
      <c r="A80" s="214">
        <v>77</v>
      </c>
      <c r="B80" s="214" t="s">
        <v>132</v>
      </c>
      <c r="C80" s="212">
        <v>12</v>
      </c>
      <c r="D80" s="214" t="s">
        <v>71</v>
      </c>
      <c r="E80" s="212" t="s">
        <v>68</v>
      </c>
    </row>
    <row r="81" spans="1:5" x14ac:dyDescent="0.35">
      <c r="A81" s="214">
        <v>78</v>
      </c>
      <c r="B81" s="214" t="s">
        <v>133</v>
      </c>
      <c r="C81" s="212">
        <v>12</v>
      </c>
      <c r="D81" s="214" t="s">
        <v>71</v>
      </c>
      <c r="E81" s="212" t="s">
        <v>68</v>
      </c>
    </row>
    <row r="82" spans="1:5" x14ac:dyDescent="0.35">
      <c r="A82" s="214">
        <v>79</v>
      </c>
      <c r="B82" s="214" t="s">
        <v>134</v>
      </c>
      <c r="C82" s="212">
        <v>18</v>
      </c>
      <c r="D82" s="214" t="s">
        <v>71</v>
      </c>
      <c r="E82" s="212" t="s">
        <v>68</v>
      </c>
    </row>
    <row r="83" spans="1:5" x14ac:dyDescent="0.35">
      <c r="A83" s="214">
        <v>80</v>
      </c>
      <c r="B83" s="214" t="s">
        <v>135</v>
      </c>
      <c r="C83" s="212">
        <v>16</v>
      </c>
      <c r="D83" s="214" t="s">
        <v>71</v>
      </c>
      <c r="E83" s="212" t="s">
        <v>68</v>
      </c>
    </row>
    <row r="84" spans="1:5" x14ac:dyDescent="0.35">
      <c r="A84" s="214">
        <v>81</v>
      </c>
      <c r="B84" s="214" t="s">
        <v>136</v>
      </c>
      <c r="C84" s="212">
        <v>32</v>
      </c>
      <c r="D84" s="214" t="s">
        <v>137</v>
      </c>
      <c r="E84" s="212" t="s">
        <v>68</v>
      </c>
    </row>
    <row r="85" spans="1:5" x14ac:dyDescent="0.35">
      <c r="A85" s="214">
        <v>82</v>
      </c>
      <c r="B85" s="214" t="s">
        <v>138</v>
      </c>
      <c r="C85" s="212">
        <v>10</v>
      </c>
      <c r="D85" s="214">
        <v>2018</v>
      </c>
      <c r="E85" s="212" t="s">
        <v>68</v>
      </c>
    </row>
    <row r="86" spans="1:5" x14ac:dyDescent="0.35">
      <c r="A86" s="214">
        <v>83</v>
      </c>
      <c r="B86" s="214" t="s">
        <v>139</v>
      </c>
      <c r="C86" s="212">
        <v>75</v>
      </c>
      <c r="D86" s="214" t="s">
        <v>140</v>
      </c>
      <c r="E86" s="212" t="s">
        <v>68</v>
      </c>
    </row>
    <row r="87" spans="1:5" x14ac:dyDescent="0.35">
      <c r="A87" s="214">
        <v>84</v>
      </c>
      <c r="B87" s="214" t="s">
        <v>141</v>
      </c>
      <c r="C87" s="212">
        <v>32</v>
      </c>
      <c r="D87" s="214" t="s">
        <v>142</v>
      </c>
      <c r="E87" s="212" t="s">
        <v>68</v>
      </c>
    </row>
    <row r="88" spans="1:5" x14ac:dyDescent="0.35">
      <c r="A88" s="214">
        <v>85</v>
      </c>
      <c r="B88" s="214" t="s">
        <v>143</v>
      </c>
      <c r="C88" s="212">
        <v>34</v>
      </c>
      <c r="D88" s="214" t="s">
        <v>144</v>
      </c>
      <c r="E88" s="212" t="s">
        <v>68</v>
      </c>
    </row>
    <row r="89" spans="1:5" x14ac:dyDescent="0.35">
      <c r="A89" s="215">
        <v>86</v>
      </c>
      <c r="B89" s="218" t="s">
        <v>145</v>
      </c>
      <c r="C89" s="213">
        <v>22</v>
      </c>
      <c r="D89" s="215" t="s">
        <v>144</v>
      </c>
      <c r="E89" s="213" t="s">
        <v>68</v>
      </c>
    </row>
    <row r="90" spans="1:5" x14ac:dyDescent="0.35">
      <c r="A90" s="38" t="s">
        <v>146</v>
      </c>
      <c r="B90" s="39"/>
      <c r="C90" s="39"/>
      <c r="D90" s="39"/>
      <c r="E90" s="39"/>
    </row>
  </sheetData>
  <mergeCells count="1">
    <mergeCell ref="A1:F1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A9ADB-FC76-4D7E-858B-607469053163}">
  <dimension ref="A1:K18"/>
  <sheetViews>
    <sheetView workbookViewId="0">
      <selection activeCell="I18" sqref="I18"/>
    </sheetView>
  </sheetViews>
  <sheetFormatPr defaultRowHeight="14.5" x14ac:dyDescent="0.35"/>
  <cols>
    <col min="1" max="1" width="14.26953125" customWidth="1"/>
  </cols>
  <sheetData>
    <row r="1" spans="1:11" ht="15.5" x14ac:dyDescent="0.35">
      <c r="A1" s="243" t="s">
        <v>147</v>
      </c>
      <c r="B1" s="243"/>
      <c r="C1" s="243"/>
      <c r="D1" s="243"/>
      <c r="E1" s="243"/>
      <c r="F1" s="243"/>
      <c r="G1" s="243"/>
      <c r="H1" s="243"/>
      <c r="I1" s="243"/>
      <c r="J1" s="27"/>
      <c r="K1" s="27"/>
    </row>
    <row r="2" spans="1:11" ht="15.5" x14ac:dyDescent="0.35">
      <c r="B2" s="244"/>
      <c r="C2" s="244"/>
      <c r="D2" s="244"/>
      <c r="E2" s="244"/>
      <c r="F2" s="244"/>
      <c r="G2" s="244"/>
      <c r="H2" s="244"/>
      <c r="I2" s="244"/>
      <c r="J2" s="244"/>
      <c r="K2" s="27"/>
    </row>
    <row r="3" spans="1:11" ht="15.5" x14ac:dyDescent="0.35">
      <c r="A3" s="40" t="s">
        <v>148</v>
      </c>
      <c r="B3" s="219">
        <v>2012</v>
      </c>
      <c r="C3" s="41">
        <v>2013</v>
      </c>
      <c r="D3" s="41">
        <v>2014</v>
      </c>
      <c r="E3" s="41">
        <v>2015</v>
      </c>
      <c r="F3" s="219">
        <v>2016</v>
      </c>
      <c r="G3" s="220">
        <v>2017</v>
      </c>
      <c r="H3" s="42"/>
      <c r="I3" s="42"/>
      <c r="J3" s="42"/>
      <c r="K3" s="42"/>
    </row>
    <row r="4" spans="1:11" ht="15.5" x14ac:dyDescent="0.35">
      <c r="A4" s="43" t="s">
        <v>68</v>
      </c>
      <c r="B4" s="232"/>
      <c r="C4" s="163"/>
      <c r="D4" s="163"/>
      <c r="E4" s="163"/>
      <c r="F4" s="204"/>
      <c r="G4" s="221"/>
      <c r="H4" s="27"/>
      <c r="I4" s="27"/>
      <c r="J4" s="27"/>
      <c r="K4" s="27"/>
    </row>
    <row r="5" spans="1:11" ht="15.5" x14ac:dyDescent="0.35">
      <c r="A5" s="44" t="s">
        <v>149</v>
      </c>
      <c r="B5" s="232">
        <v>0</v>
      </c>
      <c r="C5" s="163">
        <v>367</v>
      </c>
      <c r="D5" s="163">
        <v>70</v>
      </c>
      <c r="E5" s="163">
        <v>110</v>
      </c>
      <c r="F5" s="163">
        <v>214</v>
      </c>
      <c r="G5" s="221">
        <v>214</v>
      </c>
      <c r="H5" s="27"/>
      <c r="I5" s="27"/>
      <c r="J5" s="27"/>
      <c r="K5" s="27"/>
    </row>
    <row r="6" spans="1:11" ht="15.5" x14ac:dyDescent="0.35">
      <c r="A6" s="44" t="s">
        <v>150</v>
      </c>
      <c r="B6" s="232">
        <v>0</v>
      </c>
      <c r="C6" s="163">
        <v>301</v>
      </c>
      <c r="D6" s="163">
        <v>110</v>
      </c>
      <c r="E6" s="163">
        <v>140</v>
      </c>
      <c r="F6" s="163">
        <v>272</v>
      </c>
      <c r="G6" s="221">
        <v>272</v>
      </c>
      <c r="H6" s="27"/>
      <c r="I6" s="27"/>
      <c r="J6" s="27"/>
      <c r="K6" s="27"/>
    </row>
    <row r="7" spans="1:11" ht="15.5" x14ac:dyDescent="0.35">
      <c r="A7" s="45" t="s">
        <v>151</v>
      </c>
      <c r="B7" s="233">
        <v>0</v>
      </c>
      <c r="C7" s="32">
        <v>668</v>
      </c>
      <c r="D7" s="32">
        <v>180</v>
      </c>
      <c r="E7" s="32">
        <v>250</v>
      </c>
      <c r="F7" s="32">
        <v>486</v>
      </c>
      <c r="G7" s="221">
        <v>486</v>
      </c>
      <c r="H7" s="27"/>
      <c r="I7" s="27"/>
      <c r="J7" s="27"/>
      <c r="K7" s="27"/>
    </row>
    <row r="8" spans="1:11" ht="15.5" x14ac:dyDescent="0.35">
      <c r="A8" s="43" t="s">
        <v>152</v>
      </c>
      <c r="B8" s="232"/>
      <c r="C8" s="163"/>
      <c r="D8" s="163"/>
      <c r="E8" s="163"/>
      <c r="F8" s="163"/>
      <c r="G8" s="222"/>
      <c r="H8" s="27"/>
      <c r="I8" s="27"/>
      <c r="J8" s="27"/>
      <c r="K8" s="27"/>
    </row>
    <row r="9" spans="1:11" ht="15.5" x14ac:dyDescent="0.35">
      <c r="A9" s="44" t="s">
        <v>149</v>
      </c>
      <c r="B9" s="232">
        <v>100</v>
      </c>
      <c r="C9" s="163">
        <v>287</v>
      </c>
      <c r="D9" s="163">
        <v>302</v>
      </c>
      <c r="E9" s="163">
        <f>22+24+20+3+10+21</f>
        <v>100</v>
      </c>
      <c r="F9" s="163" t="s">
        <v>23</v>
      </c>
      <c r="G9" s="221" t="s">
        <v>23</v>
      </c>
      <c r="H9" s="27"/>
      <c r="I9" s="27"/>
      <c r="J9" s="27"/>
      <c r="K9" s="27"/>
    </row>
    <row r="10" spans="1:11" ht="15.5" x14ac:dyDescent="0.35">
      <c r="A10" s="44" t="s">
        <v>150</v>
      </c>
      <c r="B10" s="232">
        <v>0</v>
      </c>
      <c r="C10" s="163">
        <v>43</v>
      </c>
      <c r="D10" s="163">
        <v>42</v>
      </c>
      <c r="E10" s="163">
        <f>4+5</f>
        <v>9</v>
      </c>
      <c r="F10" s="163" t="s">
        <v>23</v>
      </c>
      <c r="G10" s="221" t="s">
        <v>23</v>
      </c>
      <c r="H10" s="27"/>
      <c r="I10" s="27"/>
      <c r="J10" s="27"/>
      <c r="K10" s="27"/>
    </row>
    <row r="11" spans="1:11" ht="15.5" x14ac:dyDescent="0.35">
      <c r="A11" s="45" t="s">
        <v>151</v>
      </c>
      <c r="B11" s="233"/>
      <c r="C11" s="32">
        <v>330</v>
      </c>
      <c r="D11" s="32">
        <f>SUM(D9:D10)</f>
        <v>344</v>
      </c>
      <c r="E11" s="32">
        <f>SUM(E9:E10)</f>
        <v>109</v>
      </c>
      <c r="F11" s="32" t="s">
        <v>23</v>
      </c>
      <c r="G11" s="223" t="s">
        <v>23</v>
      </c>
      <c r="H11" s="27"/>
      <c r="I11" s="27"/>
      <c r="J11" s="27"/>
      <c r="K11" s="27"/>
    </row>
    <row r="12" spans="1:11" ht="15.5" x14ac:dyDescent="0.35">
      <c r="A12" s="43" t="s">
        <v>153</v>
      </c>
      <c r="B12" s="232"/>
      <c r="C12" s="163"/>
      <c r="D12" s="163"/>
      <c r="E12" s="163"/>
      <c r="F12" s="163"/>
      <c r="G12" s="221"/>
      <c r="H12" s="27"/>
      <c r="I12" s="27"/>
      <c r="J12" s="27"/>
      <c r="K12" s="27"/>
    </row>
    <row r="13" spans="1:11" ht="15.5" x14ac:dyDescent="0.35">
      <c r="A13" s="44" t="s">
        <v>149</v>
      </c>
      <c r="B13" s="232">
        <v>53</v>
      </c>
      <c r="C13" s="163">
        <v>348</v>
      </c>
      <c r="D13" s="163">
        <v>160</v>
      </c>
      <c r="E13" s="163">
        <v>157</v>
      </c>
      <c r="F13" s="163">
        <v>519</v>
      </c>
      <c r="G13" s="221">
        <v>552</v>
      </c>
      <c r="H13" s="27"/>
      <c r="I13" s="27"/>
      <c r="J13" s="27"/>
      <c r="K13" s="27"/>
    </row>
    <row r="14" spans="1:11" ht="15.5" x14ac:dyDescent="0.35">
      <c r="A14" s="44" t="s">
        <v>150</v>
      </c>
      <c r="B14" s="232">
        <v>47</v>
      </c>
      <c r="C14" s="163">
        <v>316</v>
      </c>
      <c r="D14" s="163">
        <v>149</v>
      </c>
      <c r="E14" s="163">
        <v>105</v>
      </c>
      <c r="F14" s="163">
        <v>252</v>
      </c>
      <c r="G14" s="221">
        <v>281</v>
      </c>
      <c r="H14" s="27"/>
      <c r="I14" s="27"/>
      <c r="J14" s="27"/>
      <c r="K14" s="27"/>
    </row>
    <row r="15" spans="1:11" ht="15.5" x14ac:dyDescent="0.35">
      <c r="A15" s="45" t="s">
        <v>151</v>
      </c>
      <c r="B15" s="233">
        <v>100</v>
      </c>
      <c r="C15" s="32">
        <v>664</v>
      </c>
      <c r="D15" s="32">
        <f>SUM(D13:D14)</f>
        <v>309</v>
      </c>
      <c r="E15" s="32">
        <f>SUM(E13:E14)</f>
        <v>262</v>
      </c>
      <c r="F15" s="32">
        <v>771</v>
      </c>
      <c r="G15" s="223">
        <v>833</v>
      </c>
      <c r="H15" s="27"/>
      <c r="I15" s="27"/>
      <c r="J15" s="27"/>
      <c r="K15" s="27"/>
    </row>
    <row r="16" spans="1:11" ht="15.5" x14ac:dyDescent="0.35">
      <c r="A16" s="168"/>
      <c r="B16" s="163"/>
      <c r="C16" s="163"/>
      <c r="D16" s="163"/>
      <c r="E16" s="163"/>
      <c r="F16" s="163"/>
      <c r="G16" s="169"/>
      <c r="H16" s="27"/>
      <c r="I16" s="27"/>
      <c r="J16" s="27"/>
      <c r="K16" s="27"/>
    </row>
    <row r="17" spans="1:11" ht="15.5" x14ac:dyDescent="0.35">
      <c r="A17" s="38" t="s">
        <v>154</v>
      </c>
      <c r="B17" s="30"/>
      <c r="C17" s="30"/>
      <c r="D17" s="30"/>
      <c r="E17" s="33"/>
      <c r="F17" s="26"/>
      <c r="G17" s="27"/>
      <c r="H17" s="27"/>
      <c r="I17" s="27"/>
      <c r="J17" s="27"/>
      <c r="K17" s="27"/>
    </row>
    <row r="18" spans="1:11" ht="15.5" x14ac:dyDescent="0.35">
      <c r="A18" s="234" t="s">
        <v>235</v>
      </c>
    </row>
  </sheetData>
  <mergeCells count="2">
    <mergeCell ref="A1:I1"/>
    <mergeCell ref="B2:J2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8E73AE-F6FA-4419-8EAA-B5FB558352CD}">
  <dimension ref="A1:M16"/>
  <sheetViews>
    <sheetView workbookViewId="0">
      <selection activeCell="I4" sqref="I4"/>
    </sheetView>
  </sheetViews>
  <sheetFormatPr defaultRowHeight="14.5" x14ac:dyDescent="0.35"/>
  <sheetData>
    <row r="1" spans="1:13" ht="15.5" x14ac:dyDescent="0.35">
      <c r="B1" s="243" t="s">
        <v>225</v>
      </c>
      <c r="C1" s="243"/>
      <c r="D1" s="243"/>
      <c r="E1" s="243"/>
      <c r="F1" s="243"/>
      <c r="G1" s="243"/>
      <c r="H1" s="243"/>
      <c r="I1" s="243"/>
      <c r="J1" s="243"/>
      <c r="K1" s="46"/>
      <c r="L1" s="46"/>
      <c r="M1" s="46"/>
    </row>
    <row r="2" spans="1:13" ht="15.5" x14ac:dyDescent="0.35">
      <c r="B2" s="246" t="s">
        <v>43</v>
      </c>
      <c r="C2" s="246"/>
      <c r="D2" s="246"/>
      <c r="E2" s="246"/>
      <c r="F2" s="246"/>
      <c r="G2" s="47"/>
      <c r="H2" s="46"/>
      <c r="I2" s="46"/>
      <c r="J2" s="46"/>
      <c r="K2" s="46"/>
      <c r="L2" s="46"/>
      <c r="M2" s="46"/>
    </row>
    <row r="3" spans="1:13" ht="15.5" x14ac:dyDescent="0.35">
      <c r="A3" s="94" t="s">
        <v>155</v>
      </c>
      <c r="B3" s="94">
        <v>2017</v>
      </c>
      <c r="C3" s="86">
        <v>2018</v>
      </c>
      <c r="D3" s="48">
        <v>2019</v>
      </c>
      <c r="E3" s="48">
        <v>2020</v>
      </c>
      <c r="F3" s="48">
        <v>2021</v>
      </c>
      <c r="H3" s="209"/>
      <c r="J3" s="46"/>
      <c r="K3" s="46"/>
      <c r="L3" s="46"/>
      <c r="M3" s="46"/>
    </row>
    <row r="4" spans="1:13" ht="15.5" x14ac:dyDescent="0.35">
      <c r="A4" s="95" t="s">
        <v>156</v>
      </c>
      <c r="B4" s="171">
        <v>8934</v>
      </c>
      <c r="C4" s="96">
        <v>8251</v>
      </c>
      <c r="D4" s="96">
        <v>7797</v>
      </c>
      <c r="E4" s="96">
        <v>7576</v>
      </c>
      <c r="F4" s="96">
        <v>7434</v>
      </c>
      <c r="H4" s="210"/>
      <c r="J4" s="46"/>
      <c r="K4" s="46"/>
      <c r="L4" s="46"/>
      <c r="M4" s="46"/>
    </row>
    <row r="5" spans="1:13" ht="15.5" x14ac:dyDescent="0.35">
      <c r="A5" s="95" t="s">
        <v>157</v>
      </c>
      <c r="B5" s="171">
        <v>0</v>
      </c>
      <c r="C5" s="97">
        <v>0</v>
      </c>
      <c r="D5" s="90">
        <v>0</v>
      </c>
      <c r="E5" s="90">
        <v>0</v>
      </c>
      <c r="F5" s="90">
        <v>0</v>
      </c>
      <c r="H5" s="210"/>
      <c r="J5" s="46"/>
      <c r="K5" s="46"/>
      <c r="L5" s="46"/>
      <c r="M5" s="46"/>
    </row>
    <row r="6" spans="1:13" ht="15.5" x14ac:dyDescent="0.35">
      <c r="A6" s="95" t="s">
        <v>216</v>
      </c>
      <c r="B6" s="171">
        <v>3</v>
      </c>
      <c r="C6" s="97"/>
      <c r="D6" s="90"/>
      <c r="E6" s="90">
        <v>1</v>
      </c>
      <c r="F6" s="96">
        <v>1</v>
      </c>
      <c r="H6" s="210"/>
      <c r="J6" s="46"/>
      <c r="K6" s="46"/>
      <c r="L6" s="46"/>
      <c r="M6" s="46"/>
    </row>
    <row r="7" spans="1:13" ht="15.5" x14ac:dyDescent="0.35">
      <c r="A7" s="95" t="s">
        <v>158</v>
      </c>
      <c r="B7" s="171">
        <v>0</v>
      </c>
      <c r="C7" s="97">
        <v>0</v>
      </c>
      <c r="D7" s="90">
        <v>0</v>
      </c>
      <c r="E7" s="90">
        <v>0</v>
      </c>
      <c r="F7" s="90">
        <v>0</v>
      </c>
      <c r="H7" s="210"/>
      <c r="J7" s="46"/>
      <c r="K7" s="46"/>
      <c r="L7" s="46"/>
      <c r="M7" s="46"/>
    </row>
    <row r="8" spans="1:13" ht="15.5" x14ac:dyDescent="0.35">
      <c r="A8" s="95" t="s">
        <v>159</v>
      </c>
      <c r="B8" s="171">
        <v>0</v>
      </c>
      <c r="C8" s="97">
        <v>0</v>
      </c>
      <c r="D8" s="90">
        <v>0</v>
      </c>
      <c r="E8" s="90">
        <v>0</v>
      </c>
      <c r="F8" s="90">
        <v>0</v>
      </c>
      <c r="H8" s="210"/>
      <c r="J8" s="46"/>
      <c r="K8" s="46"/>
      <c r="L8" s="46"/>
      <c r="M8" s="46"/>
    </row>
    <row r="9" spans="1:13" ht="15.5" x14ac:dyDescent="0.35">
      <c r="A9" s="95" t="s">
        <v>160</v>
      </c>
      <c r="B9" s="171">
        <v>321</v>
      </c>
      <c r="C9" s="96">
        <v>253</v>
      </c>
      <c r="D9" s="96">
        <v>159</v>
      </c>
      <c r="E9" s="96">
        <v>137</v>
      </c>
      <c r="F9" s="96">
        <v>72</v>
      </c>
      <c r="H9" s="210"/>
      <c r="J9" s="46"/>
      <c r="K9" s="46"/>
      <c r="L9" s="46"/>
      <c r="M9" s="46"/>
    </row>
    <row r="10" spans="1:13" ht="15.5" x14ac:dyDescent="0.35">
      <c r="A10" s="95" t="s">
        <v>161</v>
      </c>
      <c r="B10" s="171">
        <v>523</v>
      </c>
      <c r="C10" s="98">
        <v>445</v>
      </c>
      <c r="D10" s="98">
        <v>311</v>
      </c>
      <c r="E10" s="90">
        <v>283</v>
      </c>
      <c r="F10" s="90">
        <v>127</v>
      </c>
      <c r="H10" s="210"/>
      <c r="J10" s="46"/>
      <c r="K10" s="46"/>
      <c r="L10" s="46"/>
      <c r="M10" s="46"/>
    </row>
    <row r="11" spans="1:13" ht="15.5" x14ac:dyDescent="0.35">
      <c r="A11" s="95" t="s">
        <v>162</v>
      </c>
      <c r="B11" s="171">
        <v>23718</v>
      </c>
      <c r="C11" s="96">
        <v>21864</v>
      </c>
      <c r="D11" s="96">
        <v>26492</v>
      </c>
      <c r="E11" s="96">
        <v>25592</v>
      </c>
      <c r="F11" s="90">
        <v>32713</v>
      </c>
      <c r="H11" s="210"/>
      <c r="J11" s="46"/>
      <c r="K11" s="46"/>
      <c r="L11" s="46"/>
      <c r="M11" s="46"/>
    </row>
    <row r="12" spans="1:13" ht="15.5" x14ac:dyDescent="0.35">
      <c r="A12" s="95" t="s">
        <v>163</v>
      </c>
      <c r="B12" s="171">
        <v>0</v>
      </c>
      <c r="C12" s="97">
        <v>0</v>
      </c>
      <c r="D12" s="90">
        <v>0</v>
      </c>
      <c r="E12" s="90">
        <v>0</v>
      </c>
      <c r="F12" s="90">
        <v>0</v>
      </c>
      <c r="H12" s="210"/>
      <c r="J12" s="46"/>
      <c r="K12" s="46"/>
      <c r="L12" s="46"/>
      <c r="M12" s="46"/>
    </row>
    <row r="13" spans="1:13" ht="15.5" x14ac:dyDescent="0.35">
      <c r="A13" s="95" t="s">
        <v>164</v>
      </c>
      <c r="B13" s="171">
        <v>34</v>
      </c>
      <c r="C13" s="96">
        <v>32</v>
      </c>
      <c r="D13" s="96">
        <v>38</v>
      </c>
      <c r="E13" s="96">
        <v>11</v>
      </c>
      <c r="F13" s="90">
        <v>33</v>
      </c>
      <c r="H13" s="210"/>
      <c r="J13" s="46"/>
      <c r="K13" s="46"/>
      <c r="L13" s="46"/>
      <c r="M13" s="46"/>
    </row>
    <row r="14" spans="1:13" ht="15.5" x14ac:dyDescent="0.35">
      <c r="A14" s="95" t="s">
        <v>165</v>
      </c>
      <c r="B14" s="171">
        <v>1657</v>
      </c>
      <c r="C14" s="96">
        <v>1567</v>
      </c>
      <c r="D14" s="96">
        <v>1421</v>
      </c>
      <c r="E14" s="96">
        <v>1520</v>
      </c>
      <c r="F14" s="90">
        <v>1724</v>
      </c>
      <c r="H14" s="210"/>
      <c r="J14" s="46"/>
      <c r="K14" s="46"/>
      <c r="L14" s="46"/>
      <c r="M14" s="46"/>
    </row>
    <row r="15" spans="1:13" ht="15.5" x14ac:dyDescent="0.35">
      <c r="A15" s="95" t="s">
        <v>166</v>
      </c>
      <c r="B15" s="170">
        <v>778</v>
      </c>
      <c r="C15" s="96">
        <v>748</v>
      </c>
      <c r="D15" s="96">
        <v>639</v>
      </c>
      <c r="E15" s="96">
        <v>797</v>
      </c>
      <c r="F15" s="90">
        <v>931</v>
      </c>
      <c r="H15" s="210"/>
      <c r="J15" s="46"/>
      <c r="K15" s="46"/>
      <c r="L15" s="46"/>
      <c r="M15" s="46"/>
    </row>
    <row r="16" spans="1:13" ht="15.5" x14ac:dyDescent="0.35">
      <c r="B16" s="245" t="s">
        <v>220</v>
      </c>
      <c r="C16" s="245"/>
      <c r="D16" s="245"/>
      <c r="E16" s="245"/>
      <c r="F16" s="245"/>
      <c r="G16" s="47"/>
      <c r="H16" s="46"/>
      <c r="I16" s="46"/>
      <c r="J16" s="46"/>
      <c r="K16" s="46"/>
      <c r="L16" s="46"/>
      <c r="M16" s="46"/>
    </row>
  </sheetData>
  <mergeCells count="3">
    <mergeCell ref="B1:J1"/>
    <mergeCell ref="B16:F16"/>
    <mergeCell ref="B2:F2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FBB20-D0A7-4366-B3D7-D3B358C9A4CA}">
  <dimension ref="A1:L17"/>
  <sheetViews>
    <sheetView workbookViewId="0">
      <selection activeCell="H11" sqref="H11"/>
    </sheetView>
  </sheetViews>
  <sheetFormatPr defaultRowHeight="14.5" x14ac:dyDescent="0.35"/>
  <cols>
    <col min="1" max="1" width="21" customWidth="1"/>
    <col min="2" max="2" width="12.7265625" customWidth="1"/>
    <col min="3" max="3" width="10.81640625" bestFit="1" customWidth="1"/>
    <col min="4" max="5" width="11" bestFit="1" customWidth="1"/>
    <col min="6" max="6" width="9.54296875" bestFit="1" customWidth="1"/>
    <col min="7" max="7" width="9.81640625" bestFit="1" customWidth="1"/>
    <col min="8" max="8" width="9.36328125" bestFit="1" customWidth="1"/>
  </cols>
  <sheetData>
    <row r="1" spans="1:12" ht="15.5" x14ac:dyDescent="0.35">
      <c r="A1" s="247" t="s">
        <v>228</v>
      </c>
      <c r="B1" s="247"/>
      <c r="C1" s="247"/>
      <c r="D1" s="247"/>
      <c r="E1" s="247"/>
      <c r="F1" s="247"/>
      <c r="G1" s="49"/>
      <c r="H1" s="49"/>
      <c r="I1" s="49"/>
      <c r="J1" s="49"/>
      <c r="K1" s="49"/>
      <c r="L1" s="49"/>
    </row>
    <row r="2" spans="1:12" ht="15.5" x14ac:dyDescent="0.35">
      <c r="A2" s="91"/>
      <c r="B2" s="103"/>
      <c r="C2" s="91"/>
      <c r="D2" s="91"/>
      <c r="E2" s="91"/>
      <c r="F2" s="91"/>
      <c r="G2" s="49"/>
      <c r="H2" s="49"/>
      <c r="I2" s="49"/>
      <c r="J2" s="49"/>
      <c r="K2" s="49"/>
      <c r="L2" s="49"/>
    </row>
    <row r="3" spans="1:12" ht="15.5" x14ac:dyDescent="0.35">
      <c r="A3" s="50" t="s">
        <v>167</v>
      </c>
      <c r="B3" s="50">
        <v>2017</v>
      </c>
      <c r="C3" s="36">
        <v>2018</v>
      </c>
      <c r="D3" s="51">
        <v>2019</v>
      </c>
      <c r="E3" s="51">
        <v>2020</v>
      </c>
      <c r="F3" s="51">
        <v>2021</v>
      </c>
      <c r="G3" s="206"/>
      <c r="I3" s="52"/>
      <c r="J3" s="52"/>
      <c r="K3" s="52"/>
      <c r="L3" s="52"/>
    </row>
    <row r="4" spans="1:12" ht="15.5" x14ac:dyDescent="0.35">
      <c r="A4" s="53" t="s">
        <v>207</v>
      </c>
      <c r="B4" s="87">
        <v>1725777</v>
      </c>
      <c r="C4" s="87">
        <v>1832800</v>
      </c>
      <c r="D4" s="87">
        <v>1896265</v>
      </c>
      <c r="E4" s="87">
        <v>1974569</v>
      </c>
      <c r="F4" s="88">
        <f>1596.43*1000</f>
        <v>1596430</v>
      </c>
      <c r="G4" s="207"/>
      <c r="I4" s="49"/>
      <c r="J4" s="49"/>
      <c r="K4" s="49"/>
      <c r="L4" s="49"/>
    </row>
    <row r="5" spans="1:12" ht="15.5" x14ac:dyDescent="0.35">
      <c r="A5" s="53" t="s">
        <v>205</v>
      </c>
      <c r="B5" s="87">
        <v>79339</v>
      </c>
      <c r="C5" s="87">
        <v>78167</v>
      </c>
      <c r="D5" s="87">
        <v>78712</v>
      </c>
      <c r="E5" s="87">
        <v>67426</v>
      </c>
      <c r="F5" s="88">
        <f>81.48*1000</f>
        <v>81480</v>
      </c>
      <c r="G5" s="207"/>
      <c r="I5" s="49"/>
      <c r="J5" s="49"/>
      <c r="K5" s="49"/>
      <c r="L5" s="49"/>
    </row>
    <row r="6" spans="1:12" ht="15.5" x14ac:dyDescent="0.35">
      <c r="A6" s="53" t="s">
        <v>206</v>
      </c>
      <c r="B6" s="87">
        <v>142611</v>
      </c>
      <c r="C6" s="87">
        <v>139510</v>
      </c>
      <c r="D6" s="87">
        <v>141353</v>
      </c>
      <c r="E6" s="87">
        <v>113457</v>
      </c>
      <c r="F6" s="88">
        <f>121.9*1000</f>
        <v>121900</v>
      </c>
      <c r="G6" s="207"/>
      <c r="I6" s="49"/>
      <c r="J6" s="49"/>
      <c r="K6" s="49"/>
      <c r="L6" s="49"/>
    </row>
    <row r="7" spans="1:12" ht="15.5" x14ac:dyDescent="0.35">
      <c r="A7" s="53" t="s">
        <v>168</v>
      </c>
      <c r="B7" s="67">
        <v>0</v>
      </c>
      <c r="C7" s="67">
        <v>0</v>
      </c>
      <c r="D7" s="92">
        <v>0</v>
      </c>
      <c r="E7" s="92">
        <v>0</v>
      </c>
      <c r="F7" s="89">
        <v>0</v>
      </c>
      <c r="G7" s="207"/>
      <c r="I7" s="49"/>
      <c r="J7" s="49"/>
      <c r="K7" s="49"/>
      <c r="L7" s="49"/>
    </row>
    <row r="8" spans="1:12" ht="15.5" x14ac:dyDescent="0.35">
      <c r="A8" s="53" t="s">
        <v>208</v>
      </c>
      <c r="B8" s="87">
        <v>3271318</v>
      </c>
      <c r="C8" s="87">
        <v>3364143</v>
      </c>
      <c r="D8" s="87">
        <v>3570934</v>
      </c>
      <c r="E8" s="87">
        <v>3022506</v>
      </c>
      <c r="F8" s="88">
        <v>4402300</v>
      </c>
      <c r="G8" s="208"/>
      <c r="I8" s="49"/>
      <c r="J8" s="49"/>
      <c r="K8" s="49"/>
      <c r="L8" s="49"/>
    </row>
    <row r="9" spans="1:12" ht="15.5" x14ac:dyDescent="0.35">
      <c r="A9" s="53" t="s">
        <v>209</v>
      </c>
      <c r="B9" s="87">
        <v>1697</v>
      </c>
      <c r="C9" s="87">
        <v>1818</v>
      </c>
      <c r="D9" s="87">
        <v>1875</v>
      </c>
      <c r="E9" s="87">
        <v>1420</v>
      </c>
      <c r="F9" s="88">
        <f>0.2*1000</f>
        <v>200</v>
      </c>
      <c r="G9" s="207"/>
      <c r="I9" s="49"/>
      <c r="J9" s="49"/>
      <c r="K9" s="49"/>
      <c r="L9" s="49"/>
    </row>
    <row r="10" spans="1:12" ht="15.5" x14ac:dyDescent="0.35">
      <c r="A10" s="53" t="s">
        <v>210</v>
      </c>
      <c r="B10" s="87">
        <v>7200</v>
      </c>
      <c r="C10" s="87">
        <v>10150</v>
      </c>
      <c r="D10" s="87">
        <v>10750</v>
      </c>
      <c r="E10" s="87">
        <v>27958</v>
      </c>
      <c r="F10" s="88">
        <f>30.2*1000</f>
        <v>30200</v>
      </c>
      <c r="G10" s="207"/>
      <c r="I10" s="49"/>
      <c r="J10" s="49"/>
      <c r="K10" s="49"/>
      <c r="L10" s="49"/>
    </row>
    <row r="11" spans="1:12" ht="15.5" x14ac:dyDescent="0.35">
      <c r="A11" s="53" t="s">
        <v>211</v>
      </c>
      <c r="B11" s="87">
        <v>26884</v>
      </c>
      <c r="C11" s="87">
        <v>28248</v>
      </c>
      <c r="D11" s="87">
        <v>30442</v>
      </c>
      <c r="E11" s="87">
        <v>25634</v>
      </c>
      <c r="F11" s="88">
        <f>4.64*1000</f>
        <v>4640</v>
      </c>
      <c r="G11" s="207"/>
      <c r="I11" s="49"/>
      <c r="J11" s="49"/>
      <c r="K11" s="49"/>
      <c r="L11" s="49"/>
    </row>
    <row r="12" spans="1:12" ht="15.5" x14ac:dyDescent="0.35">
      <c r="A12" s="53" t="s">
        <v>212</v>
      </c>
      <c r="B12" s="67">
        <v>0</v>
      </c>
      <c r="C12" s="67">
        <v>0</v>
      </c>
      <c r="D12" s="92">
        <v>0</v>
      </c>
      <c r="E12" s="92">
        <v>0</v>
      </c>
      <c r="F12" s="89">
        <v>0</v>
      </c>
      <c r="G12" s="207"/>
      <c r="I12" s="49"/>
      <c r="J12" s="49"/>
      <c r="K12" s="49"/>
      <c r="L12" s="49"/>
    </row>
    <row r="13" spans="1:12" ht="15.5" x14ac:dyDescent="0.35">
      <c r="A13" s="53" t="s">
        <v>213</v>
      </c>
      <c r="B13" s="67">
        <v>0</v>
      </c>
      <c r="C13" s="67">
        <v>0</v>
      </c>
      <c r="D13" s="93">
        <v>0</v>
      </c>
      <c r="E13" s="93">
        <v>0</v>
      </c>
      <c r="F13" s="88">
        <v>0</v>
      </c>
      <c r="G13" s="207"/>
      <c r="I13" s="49"/>
      <c r="J13" s="49"/>
      <c r="K13" s="49"/>
      <c r="L13" s="49"/>
    </row>
    <row r="14" spans="1:12" ht="15.5" x14ac:dyDescent="0.35">
      <c r="A14" s="53" t="s">
        <v>214</v>
      </c>
      <c r="B14" s="67">
        <v>147</v>
      </c>
      <c r="C14" s="67">
        <v>0</v>
      </c>
      <c r="D14" s="93">
        <v>0</v>
      </c>
      <c r="E14" s="87">
        <v>353</v>
      </c>
      <c r="F14" s="88">
        <f>1.2*1000</f>
        <v>1200</v>
      </c>
      <c r="G14" s="207"/>
      <c r="I14" s="49"/>
      <c r="J14" s="49"/>
      <c r="K14" s="49"/>
      <c r="L14" s="49"/>
    </row>
    <row r="15" spans="1:12" ht="15.5" x14ac:dyDescent="0.35">
      <c r="A15" s="53" t="s">
        <v>169</v>
      </c>
      <c r="B15" s="67">
        <v>0</v>
      </c>
      <c r="C15" s="67">
        <v>0</v>
      </c>
      <c r="D15" s="87">
        <v>7</v>
      </c>
      <c r="E15" s="93">
        <v>0</v>
      </c>
      <c r="F15" s="88">
        <f>0.02*1000</f>
        <v>20</v>
      </c>
      <c r="G15" s="207"/>
      <c r="I15" s="49"/>
      <c r="J15" s="49"/>
      <c r="K15" s="49"/>
      <c r="L15" s="49"/>
    </row>
    <row r="16" spans="1:12" ht="15.5" x14ac:dyDescent="0.35">
      <c r="A16" s="54" t="s">
        <v>215</v>
      </c>
      <c r="B16" s="67">
        <v>0</v>
      </c>
      <c r="C16" s="67">
        <v>0</v>
      </c>
      <c r="D16" s="93">
        <v>0</v>
      </c>
      <c r="E16" s="93">
        <v>0</v>
      </c>
      <c r="F16" s="88">
        <v>0</v>
      </c>
      <c r="G16" s="207"/>
      <c r="I16" s="49"/>
      <c r="J16" s="49"/>
      <c r="K16" s="49"/>
      <c r="L16" s="49"/>
    </row>
    <row r="17" spans="1:12" ht="16" x14ac:dyDescent="0.35">
      <c r="A17" s="248" t="s">
        <v>221</v>
      </c>
      <c r="B17" s="248"/>
      <c r="C17" s="248"/>
      <c r="D17" s="248"/>
      <c r="E17" s="55"/>
      <c r="F17" s="49"/>
      <c r="G17" s="49"/>
      <c r="H17" s="49"/>
      <c r="I17" s="49"/>
      <c r="J17" s="49"/>
      <c r="K17" s="49"/>
      <c r="L17" s="49"/>
    </row>
  </sheetData>
  <mergeCells count="2">
    <mergeCell ref="A1:F1"/>
    <mergeCell ref="A17:D1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36BE9-03C2-4FAA-8C1C-D642BF08FFE9}">
  <dimension ref="A1:L43"/>
  <sheetViews>
    <sheetView workbookViewId="0">
      <selection activeCell="C1" sqref="C1:C1048576"/>
    </sheetView>
  </sheetViews>
  <sheetFormatPr defaultRowHeight="14.5" x14ac:dyDescent="0.35"/>
  <cols>
    <col min="1" max="1" width="18.54296875" customWidth="1"/>
    <col min="2" max="2" width="21.7265625" customWidth="1"/>
    <col min="4" max="4" width="11.7265625" bestFit="1" customWidth="1"/>
    <col min="5" max="5" width="10.81640625" bestFit="1" customWidth="1"/>
    <col min="6" max="6" width="10.26953125" customWidth="1"/>
  </cols>
  <sheetData>
    <row r="1" spans="1:12" ht="15.5" x14ac:dyDescent="0.35">
      <c r="A1" s="25" t="s">
        <v>227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</row>
    <row r="2" spans="1:12" ht="15.5" x14ac:dyDescent="0.35">
      <c r="A2" s="251" t="s">
        <v>170</v>
      </c>
      <c r="B2" s="252"/>
      <c r="C2" s="77">
        <v>2018</v>
      </c>
      <c r="D2" s="77">
        <v>2019</v>
      </c>
      <c r="E2" s="77">
        <v>2020</v>
      </c>
      <c r="F2" s="77">
        <v>2021</v>
      </c>
      <c r="G2" s="197"/>
      <c r="I2" s="56"/>
      <c r="J2" s="56"/>
      <c r="K2" s="56"/>
      <c r="L2" s="56"/>
    </row>
    <row r="3" spans="1:12" ht="15.5" x14ac:dyDescent="0.35">
      <c r="A3" s="253" t="s">
        <v>171</v>
      </c>
      <c r="B3" s="57" t="s">
        <v>172</v>
      </c>
      <c r="C3" s="78">
        <v>1173</v>
      </c>
      <c r="D3" s="136">
        <v>928.29</v>
      </c>
      <c r="E3" s="130">
        <v>724.02687000000003</v>
      </c>
      <c r="F3" s="131">
        <v>339</v>
      </c>
      <c r="G3" s="198"/>
      <c r="I3" s="56"/>
      <c r="J3" s="56"/>
      <c r="K3" s="56"/>
      <c r="L3" s="56"/>
    </row>
    <row r="4" spans="1:12" ht="15.5" x14ac:dyDescent="0.35">
      <c r="A4" s="249"/>
      <c r="B4" s="58" t="s">
        <v>173</v>
      </c>
      <c r="C4" s="78">
        <v>296</v>
      </c>
      <c r="D4" s="136">
        <v>202.7</v>
      </c>
      <c r="E4" s="130">
        <v>264.04417000000001</v>
      </c>
      <c r="F4" s="131">
        <v>141</v>
      </c>
      <c r="G4" s="198"/>
      <c r="I4" s="56"/>
      <c r="J4" s="56"/>
      <c r="K4" s="56"/>
      <c r="L4" s="56"/>
    </row>
    <row r="5" spans="1:12" ht="15.5" x14ac:dyDescent="0.35">
      <c r="A5" s="249"/>
      <c r="B5" s="58" t="s">
        <v>174</v>
      </c>
      <c r="C5" s="78">
        <v>4.1900000000000004</v>
      </c>
      <c r="D5" s="102">
        <v>2.69042</v>
      </c>
      <c r="E5" s="108">
        <v>4.8444947000000003</v>
      </c>
      <c r="F5" s="131">
        <v>1.96</v>
      </c>
      <c r="G5" s="199"/>
      <c r="I5" s="56"/>
      <c r="J5" s="56"/>
      <c r="K5" s="56"/>
      <c r="L5" s="56"/>
    </row>
    <row r="6" spans="1:12" ht="15.5" x14ac:dyDescent="0.35">
      <c r="A6" s="250"/>
      <c r="B6" s="59" t="s">
        <v>175</v>
      </c>
      <c r="C6" s="80">
        <f>(4.19*1000)/C4</f>
        <v>14.155405405405405</v>
      </c>
      <c r="D6" s="79">
        <f>(D5*1000)/D4</f>
        <v>13.272915638875187</v>
      </c>
      <c r="E6" s="80">
        <f>(E5*1000)/E4</f>
        <v>18.347289016076363</v>
      </c>
      <c r="F6" s="80">
        <f>(F5*1000)/F4</f>
        <v>13.900709219858156</v>
      </c>
      <c r="G6" s="198"/>
      <c r="I6" s="56"/>
      <c r="J6" s="56"/>
      <c r="K6" s="56"/>
      <c r="L6" s="56"/>
    </row>
    <row r="7" spans="1:12" ht="15.5" x14ac:dyDescent="0.35">
      <c r="A7" s="249" t="s">
        <v>176</v>
      </c>
      <c r="B7" s="58" t="s">
        <v>172</v>
      </c>
      <c r="C7" s="78">
        <v>325527</v>
      </c>
      <c r="D7" s="133">
        <v>275146.761446541</v>
      </c>
      <c r="E7" s="135">
        <v>269565.61331515154</v>
      </c>
      <c r="F7" s="141">
        <v>221138</v>
      </c>
      <c r="G7" s="200"/>
      <c r="I7" s="56"/>
      <c r="J7" s="56"/>
      <c r="K7" s="56"/>
      <c r="L7" s="56"/>
    </row>
    <row r="8" spans="1:12" ht="15.5" x14ac:dyDescent="0.35">
      <c r="A8" s="249"/>
      <c r="B8" s="58" t="s">
        <v>173</v>
      </c>
      <c r="C8" s="78">
        <v>180283</v>
      </c>
      <c r="D8" s="133">
        <v>166237.78333333333</v>
      </c>
      <c r="E8" s="135">
        <v>124357.38271515153</v>
      </c>
      <c r="F8" s="141">
        <v>144365</v>
      </c>
      <c r="G8" s="200"/>
      <c r="I8" s="56"/>
      <c r="J8" s="56"/>
      <c r="K8" s="56"/>
      <c r="L8" s="56"/>
    </row>
    <row r="9" spans="1:12" ht="15.5" x14ac:dyDescent="0.35">
      <c r="A9" s="249"/>
      <c r="B9" s="58" t="s">
        <v>174</v>
      </c>
      <c r="C9" s="78">
        <v>2621.27</v>
      </c>
      <c r="D9" s="102">
        <v>2368.4835099999996</v>
      </c>
      <c r="E9" s="122">
        <v>3766.2430227272725</v>
      </c>
      <c r="F9" s="131">
        <v>591.74</v>
      </c>
      <c r="G9" s="200"/>
      <c r="I9" s="56"/>
      <c r="J9" s="56"/>
      <c r="K9" s="56"/>
      <c r="L9" s="56"/>
    </row>
    <row r="10" spans="1:12" ht="15.5" x14ac:dyDescent="0.35">
      <c r="A10" s="250"/>
      <c r="B10" s="59" t="s">
        <v>175</v>
      </c>
      <c r="C10" s="80">
        <f>(C9*1000)/C8</f>
        <v>14.539751390868801</v>
      </c>
      <c r="D10" s="79">
        <f>(D9*1000)/D8</f>
        <v>14.247564317257599</v>
      </c>
      <c r="E10" s="119">
        <f>(E9*1000)/E8</f>
        <v>30.285640791862683</v>
      </c>
      <c r="F10" s="119">
        <f>(F9*1000)/F8</f>
        <v>4.0989159422297652</v>
      </c>
      <c r="G10" s="201"/>
      <c r="I10" s="56"/>
      <c r="J10" s="56"/>
      <c r="K10" s="56"/>
      <c r="L10" s="56"/>
    </row>
    <row r="11" spans="1:12" ht="15.5" x14ac:dyDescent="0.35">
      <c r="A11" s="253" t="s">
        <v>177</v>
      </c>
      <c r="B11" s="58" t="s">
        <v>172</v>
      </c>
      <c r="C11" s="78">
        <v>20433</v>
      </c>
      <c r="D11" s="133">
        <v>23374.312584738687</v>
      </c>
      <c r="E11" s="135">
        <v>21945.563860000002</v>
      </c>
      <c r="F11" s="141">
        <v>14015</v>
      </c>
      <c r="G11" s="200"/>
      <c r="I11" s="56"/>
      <c r="J11" s="56"/>
      <c r="K11" s="56"/>
      <c r="L11" s="56"/>
    </row>
    <row r="12" spans="1:12" ht="15.5" x14ac:dyDescent="0.35">
      <c r="A12" s="249"/>
      <c r="B12" s="58" t="s">
        <v>173</v>
      </c>
      <c r="C12" s="78">
        <v>6003</v>
      </c>
      <c r="D12" s="137">
        <v>5327.54</v>
      </c>
      <c r="E12" s="135">
        <v>8267.7862600000008</v>
      </c>
      <c r="F12" s="141">
        <v>4632</v>
      </c>
      <c r="G12" s="200"/>
      <c r="I12" s="56"/>
      <c r="J12" s="56"/>
      <c r="K12" s="56"/>
      <c r="L12" s="56"/>
    </row>
    <row r="13" spans="1:12" ht="15.5" x14ac:dyDescent="0.35">
      <c r="A13" s="249"/>
      <c r="B13" s="58" t="s">
        <v>174</v>
      </c>
      <c r="C13" s="78">
        <v>79.66</v>
      </c>
      <c r="D13" s="102">
        <v>43.761270000000003</v>
      </c>
      <c r="E13" s="123">
        <v>141.19335500000003</v>
      </c>
      <c r="F13" s="131">
        <v>71.19</v>
      </c>
      <c r="G13" s="201"/>
      <c r="I13" s="56"/>
      <c r="J13" s="56"/>
      <c r="K13" s="56"/>
      <c r="L13" s="56"/>
    </row>
    <row r="14" spans="1:12" ht="15.5" x14ac:dyDescent="0.35">
      <c r="A14" s="250"/>
      <c r="B14" s="58" t="s">
        <v>175</v>
      </c>
      <c r="C14" s="80">
        <f>(C13*1000)/C12</f>
        <v>13.270031650841245</v>
      </c>
      <c r="D14" s="79">
        <f>(D13*1000)/D12</f>
        <v>8.2141607571224249</v>
      </c>
      <c r="E14" s="114">
        <f>(E13*1000)/E12</f>
        <v>17.077528441089626</v>
      </c>
      <c r="F14" s="75">
        <f>(F13*1000)/F12</f>
        <v>15.369170984455959</v>
      </c>
      <c r="G14" s="163"/>
      <c r="I14" s="56"/>
      <c r="J14" s="56"/>
      <c r="K14" s="56"/>
      <c r="L14" s="56"/>
    </row>
    <row r="15" spans="1:12" ht="15.5" x14ac:dyDescent="0.35">
      <c r="A15" s="60" t="s">
        <v>178</v>
      </c>
      <c r="B15" s="57" t="s">
        <v>172</v>
      </c>
      <c r="C15" s="78">
        <v>4167</v>
      </c>
      <c r="D15" s="133">
        <v>4372.7494339622644</v>
      </c>
      <c r="E15" s="135">
        <v>3912.4353799999999</v>
      </c>
      <c r="F15" s="141">
        <v>3428</v>
      </c>
      <c r="G15" s="200"/>
      <c r="I15" s="56"/>
      <c r="J15" s="56"/>
      <c r="K15" s="56"/>
      <c r="L15" s="56"/>
    </row>
    <row r="16" spans="1:12" ht="15.5" x14ac:dyDescent="0.35">
      <c r="A16" s="60"/>
      <c r="B16" s="58" t="s">
        <v>173</v>
      </c>
      <c r="C16" s="78">
        <v>2775</v>
      </c>
      <c r="D16" s="133">
        <v>2422.8700000000003</v>
      </c>
      <c r="E16" s="135">
        <v>2728.0320000000002</v>
      </c>
      <c r="F16" s="141">
        <v>2228</v>
      </c>
      <c r="G16" s="200"/>
      <c r="I16" s="56"/>
      <c r="J16" s="56"/>
      <c r="K16" s="56"/>
      <c r="L16" s="56"/>
    </row>
    <row r="17" spans="1:12" ht="15.5" x14ac:dyDescent="0.35">
      <c r="A17" s="60"/>
      <c r="B17" s="58" t="s">
        <v>174</v>
      </c>
      <c r="C17" s="78">
        <v>76.22</v>
      </c>
      <c r="D17" s="102">
        <v>62.520330000000001</v>
      </c>
      <c r="E17" s="123">
        <v>57.763592000000003</v>
      </c>
      <c r="F17" s="81">
        <v>37.6</v>
      </c>
      <c r="G17" s="201"/>
      <c r="I17" s="56"/>
      <c r="J17" s="56"/>
      <c r="K17" s="56"/>
      <c r="L17" s="56"/>
    </row>
    <row r="18" spans="1:12" ht="15.5" x14ac:dyDescent="0.35">
      <c r="A18" s="61"/>
      <c r="B18" s="59" t="s">
        <v>175</v>
      </c>
      <c r="C18" s="80">
        <f>(C17*1000)/C16</f>
        <v>27.466666666666665</v>
      </c>
      <c r="D18" s="79">
        <f>(D17*1000)/D16</f>
        <v>25.804244552947534</v>
      </c>
      <c r="E18" s="114">
        <f>(E17*1000)/E16</f>
        <v>21.174088866992761</v>
      </c>
      <c r="F18" s="75">
        <f>(F17*1000)/F16</f>
        <v>16.87612208258528</v>
      </c>
      <c r="G18" s="163"/>
      <c r="I18" s="56"/>
      <c r="J18" s="56"/>
      <c r="K18" s="56"/>
      <c r="L18" s="56"/>
    </row>
    <row r="19" spans="1:12" ht="15.5" x14ac:dyDescent="0.35">
      <c r="A19" s="60" t="s">
        <v>179</v>
      </c>
      <c r="B19" s="58" t="s">
        <v>172</v>
      </c>
      <c r="C19" s="78">
        <v>3331</v>
      </c>
      <c r="D19" s="133">
        <v>3741.9037735849056</v>
      </c>
      <c r="E19" s="135">
        <v>3046.6981929999997</v>
      </c>
      <c r="F19" s="141">
        <v>1740</v>
      </c>
      <c r="G19" s="202"/>
      <c r="I19" s="56"/>
      <c r="J19" s="56"/>
      <c r="K19" s="56"/>
      <c r="L19" s="56"/>
    </row>
    <row r="20" spans="1:12" ht="15.5" x14ac:dyDescent="0.35">
      <c r="A20" s="60"/>
      <c r="B20" s="58" t="s">
        <v>173</v>
      </c>
      <c r="C20" s="78">
        <v>1160</v>
      </c>
      <c r="D20" s="133">
        <v>1485.55</v>
      </c>
      <c r="E20" s="135">
        <v>1413.2370000000001</v>
      </c>
      <c r="F20" s="131">
        <v>883</v>
      </c>
      <c r="G20" s="203"/>
      <c r="I20" s="56"/>
      <c r="J20" s="56"/>
      <c r="K20" s="56"/>
      <c r="L20" s="56"/>
    </row>
    <row r="21" spans="1:12" ht="15.5" x14ac:dyDescent="0.35">
      <c r="A21" s="60"/>
      <c r="B21" s="58" t="s">
        <v>174</v>
      </c>
      <c r="C21" s="78">
        <v>27.61</v>
      </c>
      <c r="D21" s="102">
        <v>34.046290000000006</v>
      </c>
      <c r="E21" s="123">
        <v>31.102683139999996</v>
      </c>
      <c r="F21" s="131">
        <v>18.670000000000002</v>
      </c>
      <c r="G21" s="202"/>
      <c r="I21" s="56"/>
      <c r="J21" s="56"/>
      <c r="K21" s="56"/>
      <c r="L21" s="56"/>
    </row>
    <row r="22" spans="1:12" ht="15.5" x14ac:dyDescent="0.35">
      <c r="A22" s="61"/>
      <c r="B22" s="59" t="s">
        <v>175</v>
      </c>
      <c r="C22" s="80">
        <f>(C21*1000)/C20</f>
        <v>23.801724137931036</v>
      </c>
      <c r="D22" s="79">
        <f>(D21*1000)/D20</f>
        <v>22.91830635118307</v>
      </c>
      <c r="E22" s="120">
        <f>(E21*1000)/E20</f>
        <v>22.008115510703437</v>
      </c>
      <c r="F22" s="84">
        <f>(F21*1000)/F20</f>
        <v>21.143827859569647</v>
      </c>
      <c r="G22" s="203"/>
      <c r="I22" s="56"/>
      <c r="J22" s="56"/>
      <c r="K22" s="56"/>
      <c r="L22" s="56"/>
    </row>
    <row r="23" spans="1:12" ht="15.5" x14ac:dyDescent="0.35">
      <c r="A23" s="249" t="s">
        <v>180</v>
      </c>
      <c r="B23" s="58" t="s">
        <v>172</v>
      </c>
      <c r="C23" s="78">
        <v>1379</v>
      </c>
      <c r="D23" s="133">
        <v>1512.8896226415095</v>
      </c>
      <c r="E23" s="135">
        <v>1203.3348659999999</v>
      </c>
      <c r="F23" s="131">
        <v>433</v>
      </c>
      <c r="G23" s="203"/>
      <c r="I23" s="56"/>
      <c r="J23" s="56"/>
      <c r="K23" s="56"/>
      <c r="L23" s="56"/>
    </row>
    <row r="24" spans="1:12" ht="15.5" x14ac:dyDescent="0.35">
      <c r="A24" s="249"/>
      <c r="B24" s="58" t="s">
        <v>173</v>
      </c>
      <c r="C24" s="78">
        <v>828</v>
      </c>
      <c r="D24" s="133">
        <v>720.83</v>
      </c>
      <c r="E24" s="135">
        <v>807.45801099999983</v>
      </c>
      <c r="F24" s="131">
        <v>329</v>
      </c>
      <c r="G24" s="203"/>
      <c r="I24" s="56"/>
      <c r="J24" s="56"/>
      <c r="K24" s="56"/>
      <c r="L24" s="56"/>
    </row>
    <row r="25" spans="1:12" ht="15.5" x14ac:dyDescent="0.35">
      <c r="A25" s="249"/>
      <c r="B25" s="58" t="s">
        <v>174</v>
      </c>
      <c r="C25" s="78">
        <v>41.33</v>
      </c>
      <c r="D25" s="102">
        <v>67.48124</v>
      </c>
      <c r="E25" s="123">
        <v>28.385532699999999</v>
      </c>
      <c r="F25" s="131">
        <v>7.31</v>
      </c>
      <c r="G25" s="203"/>
      <c r="I25" s="56"/>
      <c r="J25" s="56"/>
      <c r="K25" s="56"/>
      <c r="L25" s="56"/>
    </row>
    <row r="26" spans="1:12" ht="15.5" x14ac:dyDescent="0.35">
      <c r="A26" s="250"/>
      <c r="B26" s="59" t="s">
        <v>175</v>
      </c>
      <c r="C26" s="80">
        <f>(C25*1000)/C24</f>
        <v>49.915458937198068</v>
      </c>
      <c r="D26" s="79">
        <f>(D25*1000)/D24</f>
        <v>93.616025970062296</v>
      </c>
      <c r="E26" s="68">
        <f>(E25*1000)/E24</f>
        <v>35.154190451149049</v>
      </c>
      <c r="F26" s="68">
        <f>(F25*1000)/F24</f>
        <v>22.218844984802431</v>
      </c>
      <c r="G26" s="204"/>
      <c r="I26" s="56"/>
      <c r="J26" s="56"/>
      <c r="K26" s="56"/>
      <c r="L26" s="56"/>
    </row>
    <row r="27" spans="1:12" ht="15.5" x14ac:dyDescent="0.35">
      <c r="A27" s="249" t="s">
        <v>181</v>
      </c>
      <c r="B27" s="58" t="s">
        <v>172</v>
      </c>
      <c r="C27" s="78">
        <v>56877</v>
      </c>
      <c r="D27" s="133">
        <v>57616.82547169811</v>
      </c>
      <c r="E27" s="130">
        <v>73389.925797999997</v>
      </c>
      <c r="F27" s="141">
        <v>76156</v>
      </c>
      <c r="G27" s="202"/>
      <c r="I27" s="56"/>
      <c r="J27" s="56"/>
      <c r="K27" s="56"/>
      <c r="L27" s="56"/>
    </row>
    <row r="28" spans="1:12" ht="15.5" x14ac:dyDescent="0.35">
      <c r="A28" s="249"/>
      <c r="B28" s="58" t="s">
        <v>173</v>
      </c>
      <c r="C28" s="78">
        <v>9884</v>
      </c>
      <c r="D28" s="133">
        <v>9191.0399999999991</v>
      </c>
      <c r="E28" s="130">
        <v>10479.14373</v>
      </c>
      <c r="F28" s="141">
        <v>14572</v>
      </c>
      <c r="G28" s="202"/>
      <c r="I28" s="56"/>
      <c r="J28" s="56"/>
      <c r="K28" s="56"/>
      <c r="L28" s="56"/>
    </row>
    <row r="29" spans="1:12" ht="15.5" x14ac:dyDescent="0.35">
      <c r="A29" s="249"/>
      <c r="B29" s="58" t="s">
        <v>174</v>
      </c>
      <c r="C29" s="78">
        <v>83.15</v>
      </c>
      <c r="D29" s="102">
        <v>46.842100000000002</v>
      </c>
      <c r="E29" s="108">
        <v>226.89716100000001</v>
      </c>
      <c r="F29" s="131">
        <v>101.25</v>
      </c>
      <c r="G29" s="202"/>
      <c r="I29" s="56"/>
      <c r="J29" s="56"/>
      <c r="K29" s="56"/>
      <c r="L29" s="56"/>
    </row>
    <row r="30" spans="1:12" ht="15.5" x14ac:dyDescent="0.35">
      <c r="A30" s="250"/>
      <c r="B30" s="59" t="s">
        <v>175</v>
      </c>
      <c r="C30" s="80">
        <f>(C29*1000)/C28</f>
        <v>8.4125859975718331</v>
      </c>
      <c r="D30" s="79">
        <f>(D29*1000)/D28</f>
        <v>5.0964961527748764</v>
      </c>
      <c r="E30" s="117">
        <f>(E29*1000)/E28</f>
        <v>21.652261563168771</v>
      </c>
      <c r="F30" s="80">
        <f>(F29*1000)/F28</f>
        <v>6.9482569311007412</v>
      </c>
      <c r="G30" s="198"/>
      <c r="I30" s="56"/>
      <c r="J30" s="56"/>
      <c r="K30" s="56"/>
      <c r="L30" s="56"/>
    </row>
    <row r="31" spans="1:12" ht="15.5" x14ac:dyDescent="0.35">
      <c r="A31" s="249" t="s">
        <v>182</v>
      </c>
      <c r="B31" s="58" t="s">
        <v>172</v>
      </c>
      <c r="C31" s="78">
        <v>1828</v>
      </c>
      <c r="D31" s="133">
        <v>1186.5709433962265</v>
      </c>
      <c r="E31" s="134">
        <v>1377.8354650000001</v>
      </c>
      <c r="F31" s="131">
        <v>689</v>
      </c>
      <c r="G31" s="202"/>
      <c r="I31" s="56"/>
      <c r="J31" s="56"/>
      <c r="K31" s="56"/>
      <c r="L31" s="56"/>
    </row>
    <row r="32" spans="1:12" ht="15.5" x14ac:dyDescent="0.35">
      <c r="A32" s="249"/>
      <c r="B32" s="58" t="s">
        <v>173</v>
      </c>
      <c r="C32" s="78">
        <v>380</v>
      </c>
      <c r="D32" s="133">
        <v>356.09000000000003</v>
      </c>
      <c r="E32" s="135">
        <v>437.23293899999993</v>
      </c>
      <c r="F32" s="131">
        <v>211</v>
      </c>
      <c r="G32" s="203"/>
      <c r="I32" s="56"/>
      <c r="J32" s="56"/>
      <c r="K32" s="56"/>
      <c r="L32" s="56"/>
    </row>
    <row r="33" spans="1:12" ht="15.5" x14ac:dyDescent="0.35">
      <c r="A33" s="249"/>
      <c r="B33" s="58" t="s">
        <v>174</v>
      </c>
      <c r="C33" s="78">
        <v>8.73</v>
      </c>
      <c r="D33" s="102">
        <v>5.7774300000000007</v>
      </c>
      <c r="E33" s="123">
        <v>6.5028938000000007</v>
      </c>
      <c r="F33" s="131">
        <v>4.0599999999999996</v>
      </c>
      <c r="G33" s="202"/>
      <c r="I33" s="56"/>
      <c r="J33" s="56"/>
      <c r="K33" s="56"/>
      <c r="L33" s="56"/>
    </row>
    <row r="34" spans="1:12" ht="15.5" x14ac:dyDescent="0.35">
      <c r="A34" s="250"/>
      <c r="B34" s="59" t="s">
        <v>175</v>
      </c>
      <c r="C34" s="80">
        <f>(C33*1000)/C32</f>
        <v>22.973684210526315</v>
      </c>
      <c r="D34" s="79">
        <f>(D33*1000)/D32</f>
        <v>16.224634221685527</v>
      </c>
      <c r="E34" s="68">
        <f>(E33*1000)/E32</f>
        <v>14.872836010189072</v>
      </c>
      <c r="F34" s="68">
        <f>(F33*1000)/F32</f>
        <v>19.24170616113744</v>
      </c>
      <c r="G34" s="204"/>
      <c r="I34" s="56"/>
      <c r="J34" s="56"/>
      <c r="K34" s="56"/>
      <c r="L34" s="56"/>
    </row>
    <row r="35" spans="1:12" ht="15.5" x14ac:dyDescent="0.35">
      <c r="A35" s="249" t="s">
        <v>183</v>
      </c>
      <c r="B35" s="58" t="s">
        <v>172</v>
      </c>
      <c r="C35" s="78">
        <v>48000</v>
      </c>
      <c r="D35" s="133">
        <v>51902.429811320748</v>
      </c>
      <c r="E35" s="135">
        <v>36466.651899999997</v>
      </c>
      <c r="F35" s="141">
        <v>39990</v>
      </c>
      <c r="G35" s="202"/>
      <c r="I35" s="56"/>
      <c r="J35" s="56"/>
      <c r="K35" s="56"/>
      <c r="L35" s="56"/>
    </row>
    <row r="36" spans="1:12" ht="15.5" x14ac:dyDescent="0.35">
      <c r="A36" s="249"/>
      <c r="B36" s="58" t="s">
        <v>173</v>
      </c>
      <c r="C36" s="78">
        <v>14324</v>
      </c>
      <c r="D36" s="133">
        <v>12059.579999999998</v>
      </c>
      <c r="E36" s="135">
        <v>11136.546900000001</v>
      </c>
      <c r="F36" s="141">
        <v>10057</v>
      </c>
      <c r="G36" s="202"/>
      <c r="I36" s="56"/>
      <c r="J36" s="56"/>
      <c r="K36" s="56"/>
      <c r="L36" s="56"/>
    </row>
    <row r="37" spans="1:12" ht="15.5" x14ac:dyDescent="0.35">
      <c r="A37" s="249"/>
      <c r="B37" s="58" t="s">
        <v>174</v>
      </c>
      <c r="C37" s="78">
        <v>216.85</v>
      </c>
      <c r="D37" s="102">
        <v>214.50569999999999</v>
      </c>
      <c r="E37" s="123">
        <v>185.67944499999999</v>
      </c>
      <c r="F37" s="131">
        <v>176.59</v>
      </c>
      <c r="G37" s="205"/>
      <c r="I37" s="56"/>
      <c r="J37" s="56"/>
      <c r="K37" s="56"/>
      <c r="L37" s="56"/>
    </row>
    <row r="38" spans="1:12" ht="15.5" x14ac:dyDescent="0.35">
      <c r="A38" s="250"/>
      <c r="B38" s="59" t="s">
        <v>175</v>
      </c>
      <c r="C38" s="80">
        <f>(C37*1000)/C36</f>
        <v>15.138927673834125</v>
      </c>
      <c r="D38" s="79">
        <f>(D37*1000)/D36</f>
        <v>17.787161741951213</v>
      </c>
      <c r="E38" s="118">
        <f>(E37*1000)/E36</f>
        <v>16.672981909679738</v>
      </c>
      <c r="F38" s="68">
        <f>(F37*1000)/F36</f>
        <v>17.558914189122003</v>
      </c>
      <c r="G38" s="204"/>
      <c r="I38" s="56"/>
      <c r="J38" s="56"/>
      <c r="K38" s="56"/>
      <c r="L38" s="56"/>
    </row>
    <row r="39" spans="1:12" ht="15.5" x14ac:dyDescent="0.35">
      <c r="A39" s="249" t="s">
        <v>184</v>
      </c>
      <c r="B39" s="58" t="s">
        <v>172</v>
      </c>
      <c r="C39" s="78">
        <v>720</v>
      </c>
      <c r="D39" s="133">
        <v>695.76</v>
      </c>
      <c r="E39" s="135">
        <v>595.73618199999999</v>
      </c>
      <c r="F39" s="131">
        <v>198</v>
      </c>
      <c r="G39" s="203"/>
      <c r="I39" s="56"/>
      <c r="J39" s="56"/>
      <c r="K39" s="56"/>
      <c r="L39" s="56"/>
    </row>
    <row r="40" spans="1:12" ht="15.5" x14ac:dyDescent="0.35">
      <c r="A40" s="249"/>
      <c r="B40" s="58" t="s">
        <v>173</v>
      </c>
      <c r="C40" s="78">
        <v>184</v>
      </c>
      <c r="D40" s="133">
        <v>257.11</v>
      </c>
      <c r="E40" s="135">
        <v>248.57430600000001</v>
      </c>
      <c r="F40" s="131">
        <v>106</v>
      </c>
      <c r="G40" s="203"/>
      <c r="I40" s="56"/>
      <c r="J40" s="56"/>
      <c r="K40" s="56"/>
      <c r="L40" s="56"/>
    </row>
    <row r="41" spans="1:12" ht="15.5" x14ac:dyDescent="0.35">
      <c r="A41" s="249"/>
      <c r="B41" s="58" t="s">
        <v>174</v>
      </c>
      <c r="C41" s="78">
        <v>2.5</v>
      </c>
      <c r="D41" s="102">
        <v>3.22634</v>
      </c>
      <c r="E41" s="123">
        <v>5.0983357699999994</v>
      </c>
      <c r="F41" s="83">
        <v>1.7</v>
      </c>
      <c r="G41" s="203"/>
      <c r="I41" s="56"/>
      <c r="J41" s="56"/>
      <c r="K41" s="56"/>
      <c r="L41" s="56"/>
    </row>
    <row r="42" spans="1:12" ht="15.5" x14ac:dyDescent="0.35">
      <c r="A42" s="250"/>
      <c r="B42" s="59" t="s">
        <v>175</v>
      </c>
      <c r="C42" s="80">
        <f>(C41*1000)/C40</f>
        <v>13.586956521739131</v>
      </c>
      <c r="D42" s="85">
        <f>(D41*1000)/D40</f>
        <v>12.548481194819338</v>
      </c>
      <c r="E42" s="121">
        <f>(E41*1000)/E40</f>
        <v>20.510308776644035</v>
      </c>
      <c r="F42" s="68">
        <f>(F41*1000)/F40</f>
        <v>16.037735849056602</v>
      </c>
      <c r="G42" s="204"/>
      <c r="I42" s="56"/>
      <c r="J42" s="56"/>
      <c r="K42" s="56"/>
      <c r="L42" s="56"/>
    </row>
    <row r="43" spans="1:12" ht="15.5" x14ac:dyDescent="0.35">
      <c r="A43" s="62" t="s">
        <v>222</v>
      </c>
      <c r="B43" s="56"/>
      <c r="C43" s="56"/>
      <c r="D43" s="56"/>
      <c r="E43" s="56"/>
      <c r="F43" s="56"/>
      <c r="G43" s="56"/>
      <c r="H43" s="56"/>
      <c r="I43" s="56"/>
      <c r="J43" s="56"/>
      <c r="K43" s="56"/>
      <c r="L43" s="56"/>
    </row>
  </sheetData>
  <mergeCells count="9">
    <mergeCell ref="A31:A34"/>
    <mergeCell ref="A35:A38"/>
    <mergeCell ref="A39:A42"/>
    <mergeCell ref="A2:B2"/>
    <mergeCell ref="A3:A6"/>
    <mergeCell ref="A7:A10"/>
    <mergeCell ref="A11:A14"/>
    <mergeCell ref="A23:A26"/>
    <mergeCell ref="A27:A30"/>
  </mergeCells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3B162-AB59-47D3-BE2B-A789C03F5851}">
  <dimension ref="A1:M46"/>
  <sheetViews>
    <sheetView workbookViewId="0">
      <selection activeCell="I16" sqref="I16"/>
    </sheetView>
  </sheetViews>
  <sheetFormatPr defaultRowHeight="14.5" x14ac:dyDescent="0.35"/>
  <cols>
    <col min="1" max="1" width="17.36328125" customWidth="1"/>
    <col min="2" max="2" width="20.08984375" customWidth="1"/>
    <col min="3" max="3" width="11" customWidth="1"/>
    <col min="5" max="5" width="9.54296875" customWidth="1"/>
    <col min="6" max="6" width="9.7265625" bestFit="1" customWidth="1"/>
  </cols>
  <sheetData>
    <row r="1" spans="1:13" ht="16" x14ac:dyDescent="0.35">
      <c r="A1" s="259" t="s">
        <v>226</v>
      </c>
      <c r="B1" s="259"/>
      <c r="C1" s="259"/>
      <c r="D1" s="259"/>
      <c r="E1" s="259"/>
      <c r="F1" s="259"/>
      <c r="G1" s="64"/>
      <c r="H1" s="64"/>
      <c r="I1" s="64"/>
      <c r="J1" s="64"/>
      <c r="K1" s="64"/>
      <c r="L1" s="64"/>
      <c r="M1" s="64"/>
    </row>
    <row r="2" spans="1:13" ht="16" x14ac:dyDescent="0.35">
      <c r="A2" s="172"/>
      <c r="B2" s="172"/>
      <c r="C2" s="172"/>
      <c r="D2" s="172"/>
      <c r="E2" s="172"/>
      <c r="F2" s="172"/>
      <c r="G2" s="64"/>
      <c r="H2" s="64"/>
      <c r="I2" s="64"/>
      <c r="J2" s="64"/>
      <c r="K2" s="64"/>
      <c r="L2" s="64"/>
      <c r="M2" s="64"/>
    </row>
    <row r="3" spans="1:13" ht="16" x14ac:dyDescent="0.35">
      <c r="A3" s="261" t="s">
        <v>203</v>
      </c>
      <c r="B3" s="261"/>
      <c r="C3" s="173">
        <v>2017</v>
      </c>
      <c r="D3" s="66">
        <v>2018</v>
      </c>
      <c r="E3" s="109">
        <v>2019</v>
      </c>
      <c r="F3" s="109">
        <v>2020</v>
      </c>
      <c r="G3" s="109">
        <v>2021</v>
      </c>
      <c r="H3" s="183"/>
      <c r="J3" s="64"/>
      <c r="K3" s="64"/>
      <c r="L3" s="64"/>
      <c r="M3" s="64"/>
    </row>
    <row r="4" spans="1:13" ht="16" x14ac:dyDescent="0.35">
      <c r="A4" s="256" t="s">
        <v>186</v>
      </c>
      <c r="B4" s="110" t="s">
        <v>187</v>
      </c>
      <c r="C4" s="174">
        <v>336</v>
      </c>
      <c r="D4" s="67">
        <v>657.97</v>
      </c>
      <c r="E4" s="106">
        <v>533.67142857142858</v>
      </c>
      <c r="F4" s="139">
        <v>445.76675100000006</v>
      </c>
      <c r="G4" s="131">
        <v>303.75</v>
      </c>
      <c r="H4" s="184"/>
      <c r="J4" s="64"/>
      <c r="K4" s="64"/>
      <c r="L4" s="64"/>
      <c r="M4" s="64"/>
    </row>
    <row r="5" spans="1:13" ht="16" x14ac:dyDescent="0.35">
      <c r="A5" s="256"/>
      <c r="B5" s="110" t="s">
        <v>174</v>
      </c>
      <c r="C5" s="124">
        <v>7</v>
      </c>
      <c r="D5" s="67">
        <v>31.3</v>
      </c>
      <c r="E5" s="106">
        <v>44.148489999999995</v>
      </c>
      <c r="F5" s="139">
        <v>57.132829399999999</v>
      </c>
      <c r="G5" s="131">
        <v>97.7</v>
      </c>
      <c r="H5" s="185"/>
      <c r="J5" s="64"/>
      <c r="K5" s="64"/>
      <c r="L5" s="64"/>
      <c r="M5" s="64"/>
    </row>
    <row r="6" spans="1:13" ht="16" x14ac:dyDescent="0.35">
      <c r="A6" s="256"/>
      <c r="B6" s="110" t="s">
        <v>188</v>
      </c>
      <c r="C6" s="174">
        <v>21</v>
      </c>
      <c r="D6" s="68">
        <f>(D5*1000)/D4</f>
        <v>47.570557928173017</v>
      </c>
      <c r="E6" s="75">
        <f>(E5*1000)/E4</f>
        <v>82.725976389967073</v>
      </c>
      <c r="F6" s="75">
        <f>(F5*1000)/F4</f>
        <v>128.16754338862745</v>
      </c>
      <c r="G6" s="75">
        <f>(G5*1000)/G4</f>
        <v>321.64609053497941</v>
      </c>
      <c r="H6" s="186"/>
      <c r="J6" s="64"/>
      <c r="K6" s="64"/>
      <c r="L6" s="64"/>
      <c r="M6" s="64"/>
    </row>
    <row r="7" spans="1:13" ht="16" x14ac:dyDescent="0.35">
      <c r="A7" s="256" t="s">
        <v>189</v>
      </c>
      <c r="B7" s="110" t="s">
        <v>187</v>
      </c>
      <c r="C7" s="175">
        <v>262</v>
      </c>
      <c r="D7" s="67">
        <v>160.36000000000001</v>
      </c>
      <c r="E7" s="107">
        <v>148.88</v>
      </c>
      <c r="F7" s="139">
        <v>241.00133349999999</v>
      </c>
      <c r="G7" s="131">
        <v>119.85</v>
      </c>
      <c r="H7" s="187"/>
      <c r="J7" s="64"/>
      <c r="K7" s="64"/>
      <c r="L7" s="64"/>
      <c r="M7" s="64"/>
    </row>
    <row r="8" spans="1:13" ht="16" x14ac:dyDescent="0.35">
      <c r="A8" s="256"/>
      <c r="B8" s="110" t="s">
        <v>174</v>
      </c>
      <c r="C8" s="176">
        <v>362</v>
      </c>
      <c r="D8" s="67">
        <v>296.89999999999998</v>
      </c>
      <c r="E8" s="108">
        <v>294.57934999999998</v>
      </c>
      <c r="F8" s="139">
        <v>464.78224599999999</v>
      </c>
      <c r="G8" s="131">
        <v>250.62</v>
      </c>
      <c r="H8" s="188"/>
      <c r="J8" s="64"/>
      <c r="K8" s="64"/>
      <c r="L8" s="64"/>
      <c r="M8" s="64"/>
    </row>
    <row r="9" spans="1:13" ht="16" x14ac:dyDescent="0.35">
      <c r="A9" s="256"/>
      <c r="B9" s="110" t="s">
        <v>188</v>
      </c>
      <c r="C9" s="177">
        <v>1381</v>
      </c>
      <c r="D9" s="68">
        <f>(D8*1000)/D7</f>
        <v>1851.4592167622848</v>
      </c>
      <c r="E9" s="82">
        <f>(E8*1000)/E7</f>
        <v>1978.6361499193981</v>
      </c>
      <c r="F9" s="82">
        <f>(F8*1000)/F7</f>
        <v>1928.546366321247</v>
      </c>
      <c r="G9" s="82">
        <f>(G8*1000)/G7</f>
        <v>2091.1138923654571</v>
      </c>
      <c r="H9" s="189"/>
      <c r="J9" s="64"/>
      <c r="K9" s="64"/>
      <c r="L9" s="64"/>
      <c r="M9" s="64"/>
    </row>
    <row r="10" spans="1:13" ht="16" x14ac:dyDescent="0.35">
      <c r="A10" s="256" t="s">
        <v>190</v>
      </c>
      <c r="B10" s="110" t="s">
        <v>187</v>
      </c>
      <c r="C10" s="174">
        <v>85</v>
      </c>
      <c r="D10" s="67">
        <v>50.91</v>
      </c>
      <c r="E10" s="101">
        <v>80.929999999999993</v>
      </c>
      <c r="F10" s="139">
        <v>32.579061199999998</v>
      </c>
      <c r="G10" s="131">
        <v>10.97</v>
      </c>
      <c r="H10" s="190"/>
      <c r="J10" s="64"/>
      <c r="K10" s="64"/>
      <c r="L10" s="64"/>
      <c r="M10" s="64"/>
    </row>
    <row r="11" spans="1:13" ht="16" x14ac:dyDescent="0.35">
      <c r="A11" s="256"/>
      <c r="B11" s="110" t="s">
        <v>174</v>
      </c>
      <c r="C11" s="124">
        <v>20</v>
      </c>
      <c r="D11" s="67">
        <v>26.22</v>
      </c>
      <c r="E11" s="102">
        <v>31.229459999999996</v>
      </c>
      <c r="F11" s="139">
        <v>19.516719699999996</v>
      </c>
      <c r="G11" s="131">
        <v>10.28</v>
      </c>
      <c r="H11" s="191"/>
      <c r="J11" s="64"/>
      <c r="K11" s="64"/>
      <c r="L11" s="64"/>
      <c r="M11" s="64"/>
    </row>
    <row r="12" spans="1:13" ht="16" x14ac:dyDescent="0.35">
      <c r="A12" s="256"/>
      <c r="B12" s="110" t="s">
        <v>188</v>
      </c>
      <c r="C12" s="174">
        <v>239</v>
      </c>
      <c r="D12" s="68">
        <f>(D11*1000)/D10</f>
        <v>515.02651738361817</v>
      </c>
      <c r="E12" s="75">
        <f>(E11*1000)/E10</f>
        <v>385.88236747806747</v>
      </c>
      <c r="F12" s="75">
        <f>(F11*1000)/F10</f>
        <v>599.05715453826508</v>
      </c>
      <c r="G12" s="75">
        <f>(G11*1000)/G10</f>
        <v>937.10118505013668</v>
      </c>
      <c r="H12" s="190"/>
      <c r="J12" s="64"/>
      <c r="K12" s="64"/>
      <c r="L12" s="64"/>
      <c r="M12" s="64"/>
    </row>
    <row r="13" spans="1:13" ht="16" x14ac:dyDescent="0.35">
      <c r="A13" s="256" t="s">
        <v>201</v>
      </c>
      <c r="B13" s="110" t="s">
        <v>187</v>
      </c>
      <c r="C13" s="174">
        <v>23</v>
      </c>
      <c r="D13" s="67">
        <v>18.21</v>
      </c>
      <c r="E13" s="101">
        <v>12.490000000000002</v>
      </c>
      <c r="F13" s="139">
        <v>17.434959200000002</v>
      </c>
      <c r="G13" s="131">
        <v>11.13</v>
      </c>
      <c r="H13" s="190"/>
      <c r="J13" s="64"/>
      <c r="K13" s="64"/>
      <c r="L13" s="64"/>
      <c r="M13" s="64"/>
    </row>
    <row r="14" spans="1:13" ht="16" x14ac:dyDescent="0.35">
      <c r="A14" s="256"/>
      <c r="B14" s="110" t="s">
        <v>174</v>
      </c>
      <c r="C14" s="174">
        <v>21</v>
      </c>
      <c r="D14" s="67">
        <v>20.87</v>
      </c>
      <c r="E14" s="102">
        <v>15.374900000000002</v>
      </c>
      <c r="F14" s="139">
        <v>23.05791146</v>
      </c>
      <c r="G14" s="131">
        <v>12.64</v>
      </c>
      <c r="H14" s="190"/>
      <c r="J14" s="64"/>
      <c r="K14" s="64"/>
      <c r="L14" s="64"/>
      <c r="M14" s="64"/>
    </row>
    <row r="15" spans="1:13" ht="16" x14ac:dyDescent="0.35">
      <c r="A15" s="256"/>
      <c r="B15" s="110" t="s">
        <v>188</v>
      </c>
      <c r="C15" s="178">
        <v>884</v>
      </c>
      <c r="D15" s="68">
        <f>(D14*1000)/D13</f>
        <v>1146.0735859417903</v>
      </c>
      <c r="E15" s="75">
        <f>(E14*1000)/E13</f>
        <v>1230.97678142514</v>
      </c>
      <c r="F15" s="72">
        <f>(F14*1000)/F13</f>
        <v>1322.5102046697073</v>
      </c>
      <c r="G15" s="72">
        <f>(G14*1000)/G13</f>
        <v>1135.6693620844565</v>
      </c>
      <c r="H15" s="192"/>
      <c r="J15" s="64"/>
      <c r="K15" s="64"/>
      <c r="L15" s="64"/>
      <c r="M15" s="64"/>
    </row>
    <row r="16" spans="1:13" ht="16" x14ac:dyDescent="0.35">
      <c r="A16" s="256" t="s">
        <v>191</v>
      </c>
      <c r="B16" s="110" t="s">
        <v>187</v>
      </c>
      <c r="C16" s="175">
        <v>328</v>
      </c>
      <c r="D16" s="67">
        <v>385.08</v>
      </c>
      <c r="E16" s="101">
        <v>383.02</v>
      </c>
      <c r="F16" s="139">
        <v>407.48457900000005</v>
      </c>
      <c r="G16" s="131">
        <v>231.51</v>
      </c>
      <c r="H16" s="187"/>
      <c r="J16" s="64"/>
      <c r="K16" s="64"/>
      <c r="L16" s="64"/>
      <c r="M16" s="64"/>
    </row>
    <row r="17" spans="1:13" ht="16" x14ac:dyDescent="0.35">
      <c r="A17" s="256"/>
      <c r="B17" s="110" t="s">
        <v>174</v>
      </c>
      <c r="C17" s="179">
        <v>1396</v>
      </c>
      <c r="D17" s="67">
        <v>1236.1300000000001</v>
      </c>
      <c r="E17" s="106">
        <v>1356.5405000000001</v>
      </c>
      <c r="F17" s="140">
        <v>1277.716255</v>
      </c>
      <c r="G17" s="132">
        <v>1025.55</v>
      </c>
      <c r="H17" s="193"/>
      <c r="J17" s="64"/>
      <c r="K17" s="64"/>
      <c r="L17" s="64"/>
      <c r="M17" s="64"/>
    </row>
    <row r="18" spans="1:13" ht="16" x14ac:dyDescent="0.35">
      <c r="A18" s="256"/>
      <c r="B18" s="110" t="s">
        <v>188</v>
      </c>
      <c r="C18" s="175">
        <v>4250</v>
      </c>
      <c r="D18" s="68">
        <f>(D17*1000)/D16</f>
        <v>3210.0602472213568</v>
      </c>
      <c r="E18" s="84">
        <f>(E17*1000)/E16</f>
        <v>3541.6962560701791</v>
      </c>
      <c r="F18" s="120">
        <f>(F17*1000)/F16</f>
        <v>3135.6186733142604</v>
      </c>
      <c r="G18" s="84">
        <f>(G17*1000)/G16</f>
        <v>4429.8302449138264</v>
      </c>
      <c r="H18" s="187"/>
      <c r="J18" s="64"/>
      <c r="K18" s="64"/>
      <c r="L18" s="64"/>
      <c r="M18" s="64"/>
    </row>
    <row r="19" spans="1:13" ht="16" x14ac:dyDescent="0.35">
      <c r="A19" s="256" t="s">
        <v>192</v>
      </c>
      <c r="B19" s="110" t="s">
        <v>187</v>
      </c>
      <c r="C19" s="174">
        <v>227</v>
      </c>
      <c r="D19" s="67">
        <v>151.19999999999999</v>
      </c>
      <c r="E19" s="107">
        <v>125.59000000000002</v>
      </c>
      <c r="F19" s="139">
        <v>108.22562579999999</v>
      </c>
      <c r="G19" s="131">
        <v>87.6</v>
      </c>
      <c r="H19" s="190"/>
      <c r="J19" s="64"/>
      <c r="K19" s="64"/>
      <c r="L19" s="64"/>
      <c r="M19" s="64"/>
    </row>
    <row r="20" spans="1:13" ht="16" x14ac:dyDescent="0.35">
      <c r="A20" s="256"/>
      <c r="B20" s="110" t="s">
        <v>174</v>
      </c>
      <c r="C20" s="124">
        <v>343</v>
      </c>
      <c r="D20" s="67">
        <v>128.49</v>
      </c>
      <c r="E20" s="108">
        <v>90.508049999999983</v>
      </c>
      <c r="F20" s="139">
        <v>93.962357999999981</v>
      </c>
      <c r="G20" s="131">
        <v>166.65</v>
      </c>
      <c r="H20" s="191"/>
      <c r="J20" s="64"/>
      <c r="K20" s="64"/>
      <c r="L20" s="64"/>
      <c r="M20" s="64"/>
    </row>
    <row r="21" spans="1:13" ht="16" x14ac:dyDescent="0.35">
      <c r="A21" s="256"/>
      <c r="B21" s="110" t="s">
        <v>188</v>
      </c>
      <c r="C21" s="174">
        <v>1515</v>
      </c>
      <c r="D21" s="68">
        <f>(D20*1000)/D19</f>
        <v>849.80158730158746</v>
      </c>
      <c r="E21" s="75">
        <f>(E20*1000)/E19</f>
        <v>720.66287124771065</v>
      </c>
      <c r="F21" s="75">
        <f>(F20*1000)/F19</f>
        <v>868.20803580883512</v>
      </c>
      <c r="G21" s="75">
        <f>(G20*1000)/G19</f>
        <v>1902.3972602739727</v>
      </c>
      <c r="H21" s="190"/>
      <c r="J21" s="64"/>
      <c r="K21" s="64"/>
      <c r="L21" s="64"/>
      <c r="M21" s="64"/>
    </row>
    <row r="22" spans="1:13" ht="16" x14ac:dyDescent="0.35">
      <c r="A22" s="256" t="s">
        <v>193</v>
      </c>
      <c r="B22" s="110" t="s">
        <v>187</v>
      </c>
      <c r="C22" s="174">
        <v>171</v>
      </c>
      <c r="D22" s="67">
        <v>71.52</v>
      </c>
      <c r="E22" s="107">
        <v>64.64</v>
      </c>
      <c r="F22" s="139">
        <v>82.767540999999994</v>
      </c>
      <c r="G22" s="131">
        <v>30.74</v>
      </c>
      <c r="H22" s="190"/>
      <c r="J22" s="64"/>
      <c r="K22" s="64"/>
      <c r="L22" s="64"/>
      <c r="M22" s="64"/>
    </row>
    <row r="23" spans="1:13" ht="16" x14ac:dyDescent="0.35">
      <c r="A23" s="256"/>
      <c r="B23" s="110" t="s">
        <v>174</v>
      </c>
      <c r="C23" s="180">
        <v>546</v>
      </c>
      <c r="D23" s="67">
        <v>110.88</v>
      </c>
      <c r="E23" s="108">
        <v>102.92660999999998</v>
      </c>
      <c r="F23" s="139">
        <v>145.93069300000002</v>
      </c>
      <c r="G23" s="131">
        <v>99.38</v>
      </c>
      <c r="H23" s="194"/>
      <c r="J23" s="64"/>
      <c r="K23" s="64"/>
      <c r="L23" s="64"/>
      <c r="M23" s="64"/>
    </row>
    <row r="24" spans="1:13" ht="16" x14ac:dyDescent="0.35">
      <c r="A24" s="256"/>
      <c r="B24" s="110" t="s">
        <v>188</v>
      </c>
      <c r="C24" s="178">
        <v>3201</v>
      </c>
      <c r="D24" s="68">
        <f>(D23*1000)/D22</f>
        <v>1550.3355704697988</v>
      </c>
      <c r="E24" s="72">
        <f>(E23*1000)/E22</f>
        <v>1592.3052289603959</v>
      </c>
      <c r="F24" s="72">
        <f>(F23*1000)/F22</f>
        <v>1763.1391634553943</v>
      </c>
      <c r="G24" s="72">
        <f>(G23*1000)/G22</f>
        <v>3232.9212752114508</v>
      </c>
      <c r="H24" s="192"/>
      <c r="J24" s="64"/>
      <c r="K24" s="64"/>
      <c r="L24" s="64"/>
      <c r="M24" s="64"/>
    </row>
    <row r="25" spans="1:13" ht="16" x14ac:dyDescent="0.35">
      <c r="A25" s="256" t="s">
        <v>194</v>
      </c>
      <c r="B25" s="110" t="s">
        <v>187</v>
      </c>
      <c r="C25" s="174">
        <v>25</v>
      </c>
      <c r="D25" s="67">
        <v>19.600000000000001</v>
      </c>
      <c r="E25" s="107">
        <v>24.32</v>
      </c>
      <c r="F25" s="139">
        <v>38.300856000000003</v>
      </c>
      <c r="G25" s="131">
        <v>16.2</v>
      </c>
      <c r="H25" s="190"/>
      <c r="J25" s="64"/>
      <c r="K25" s="64"/>
      <c r="L25" s="64"/>
      <c r="M25" s="64"/>
    </row>
    <row r="26" spans="1:13" ht="16" x14ac:dyDescent="0.35">
      <c r="A26" s="256"/>
      <c r="B26" s="110" t="s">
        <v>174</v>
      </c>
      <c r="C26" s="124">
        <v>31</v>
      </c>
      <c r="D26" s="67">
        <v>28.41</v>
      </c>
      <c r="E26" s="108">
        <v>21.190170000000002</v>
      </c>
      <c r="F26" s="139">
        <v>35.416867999999994</v>
      </c>
      <c r="G26" s="131">
        <v>28.2</v>
      </c>
      <c r="H26" s="191"/>
      <c r="J26" s="64"/>
      <c r="K26" s="64"/>
      <c r="L26" s="64"/>
      <c r="M26" s="64"/>
    </row>
    <row r="27" spans="1:13" ht="16" x14ac:dyDescent="0.35">
      <c r="A27" s="256"/>
      <c r="B27" s="110" t="s">
        <v>188</v>
      </c>
      <c r="C27" s="178">
        <v>1266</v>
      </c>
      <c r="D27" s="68">
        <f>(D26*1000)/D25</f>
        <v>1449.4897959183672</v>
      </c>
      <c r="E27" s="75">
        <f>(E26*1000)/E25</f>
        <v>871.3063322368422</v>
      </c>
      <c r="F27" s="72">
        <f>(F26*1000)/F25</f>
        <v>924.7017351257108</v>
      </c>
      <c r="G27" s="72">
        <f>(G26*1000)/G25</f>
        <v>1740.7407407407409</v>
      </c>
      <c r="H27" s="192"/>
      <c r="J27" s="64"/>
      <c r="K27" s="64"/>
      <c r="L27" s="64"/>
      <c r="M27" s="64"/>
    </row>
    <row r="28" spans="1:13" ht="16" x14ac:dyDescent="0.35">
      <c r="A28" s="256" t="s">
        <v>195</v>
      </c>
      <c r="B28" s="256" t="s">
        <v>174</v>
      </c>
      <c r="C28" s="260">
        <v>121</v>
      </c>
      <c r="D28" s="257">
        <v>84.69</v>
      </c>
      <c r="E28" s="258">
        <v>108.4919</v>
      </c>
      <c r="F28" s="254">
        <v>153.517303</v>
      </c>
      <c r="G28" s="254">
        <v>74.37</v>
      </c>
      <c r="H28" s="255"/>
      <c r="J28" s="64"/>
      <c r="K28" s="64"/>
      <c r="L28" s="64"/>
      <c r="M28" s="64"/>
    </row>
    <row r="29" spans="1:13" ht="16" customHeight="1" x14ac:dyDescent="0.35">
      <c r="A29" s="256"/>
      <c r="B29" s="256"/>
      <c r="C29" s="260"/>
      <c r="D29" s="257"/>
      <c r="E29" s="258"/>
      <c r="F29" s="254"/>
      <c r="G29" s="254"/>
      <c r="H29" s="255"/>
    </row>
    <row r="30" spans="1:13" ht="16" x14ac:dyDescent="0.35">
      <c r="A30" s="256" t="s">
        <v>196</v>
      </c>
      <c r="B30" s="110" t="s">
        <v>187</v>
      </c>
      <c r="C30" s="174">
        <v>217</v>
      </c>
      <c r="D30" s="67">
        <v>87.86</v>
      </c>
      <c r="E30" s="106">
        <v>89.960000000000008</v>
      </c>
      <c r="F30" s="139">
        <v>114.746815</v>
      </c>
      <c r="G30" s="131">
        <v>43.98</v>
      </c>
      <c r="H30" s="190"/>
      <c r="J30" s="64"/>
      <c r="K30" s="64"/>
      <c r="L30" s="64"/>
      <c r="M30" s="64"/>
    </row>
    <row r="31" spans="1:13" ht="16" x14ac:dyDescent="0.35">
      <c r="A31" s="256"/>
      <c r="B31" s="110" t="s">
        <v>174</v>
      </c>
      <c r="C31" s="124">
        <v>403</v>
      </c>
      <c r="D31" s="67">
        <v>204.44</v>
      </c>
      <c r="E31" s="106">
        <v>271.54626999999999</v>
      </c>
      <c r="F31" s="139">
        <v>215.47753999999995</v>
      </c>
      <c r="G31" s="131">
        <v>121.76</v>
      </c>
      <c r="H31" s="191"/>
      <c r="J31" s="64"/>
      <c r="K31" s="64"/>
      <c r="L31" s="64"/>
      <c r="M31" s="64"/>
    </row>
    <row r="32" spans="1:13" ht="16" x14ac:dyDescent="0.35">
      <c r="A32" s="256"/>
      <c r="B32" s="110" t="s">
        <v>188</v>
      </c>
      <c r="C32" s="178">
        <v>1860</v>
      </c>
      <c r="D32" s="68">
        <f>(D31*1000)/D30</f>
        <v>2326.8836785795584</v>
      </c>
      <c r="E32" s="72">
        <f>(E31*1000)/E30</f>
        <v>3018.5223432636726</v>
      </c>
      <c r="F32" s="72">
        <f>(F31*1000)/F30</f>
        <v>1877.8520344987348</v>
      </c>
      <c r="G32" s="72">
        <f>(G31*1000)/G30</f>
        <v>2768.5311505229652</v>
      </c>
      <c r="H32" s="192"/>
      <c r="J32" s="64"/>
      <c r="K32" s="64"/>
      <c r="L32" s="64"/>
      <c r="M32" s="64"/>
    </row>
    <row r="33" spans="1:13" ht="16" x14ac:dyDescent="0.35">
      <c r="A33" s="256" t="s">
        <v>197</v>
      </c>
      <c r="B33" s="110" t="s">
        <v>187</v>
      </c>
      <c r="C33" s="174" t="s">
        <v>23</v>
      </c>
      <c r="D33" s="67">
        <v>47.61</v>
      </c>
      <c r="E33" s="106">
        <v>8.14</v>
      </c>
      <c r="F33" s="139">
        <v>30.4792652</v>
      </c>
      <c r="G33" s="131">
        <v>23.28</v>
      </c>
      <c r="H33" s="190"/>
      <c r="J33" s="64"/>
      <c r="K33" s="64"/>
      <c r="L33" s="64"/>
      <c r="M33" s="64"/>
    </row>
    <row r="34" spans="1:13" ht="16" x14ac:dyDescent="0.35">
      <c r="A34" s="256"/>
      <c r="B34" s="110" t="s">
        <v>174</v>
      </c>
      <c r="C34" s="181" t="s">
        <v>23</v>
      </c>
      <c r="D34" s="67">
        <v>169.3</v>
      </c>
      <c r="E34" s="106">
        <v>102.90670999999999</v>
      </c>
      <c r="F34" s="139">
        <v>164.46290500000001</v>
      </c>
      <c r="G34" s="131">
        <v>69.98</v>
      </c>
      <c r="H34" s="195"/>
      <c r="J34" s="64"/>
      <c r="K34" s="64"/>
      <c r="L34" s="64"/>
      <c r="M34" s="64"/>
    </row>
    <row r="35" spans="1:13" ht="16" x14ac:dyDescent="0.35">
      <c r="A35" s="256"/>
      <c r="B35" s="110" t="s">
        <v>188</v>
      </c>
      <c r="C35" s="174" t="s">
        <v>23</v>
      </c>
      <c r="D35" s="68">
        <f>(D34*1000)/D33</f>
        <v>3555.9756353707203</v>
      </c>
      <c r="E35" s="75">
        <f>(E34*1000)/E33</f>
        <v>12642.101965601963</v>
      </c>
      <c r="F35" s="75">
        <f>(F34*1000)/F33</f>
        <v>5395.8946818704799</v>
      </c>
      <c r="G35" s="143">
        <f>(G34*1000)/G33</f>
        <v>3006.0137457044671</v>
      </c>
      <c r="H35" s="190"/>
      <c r="J35" s="64"/>
      <c r="K35" s="64"/>
      <c r="L35" s="64"/>
      <c r="M35" s="64"/>
    </row>
    <row r="36" spans="1:13" ht="31" x14ac:dyDescent="0.35">
      <c r="A36" s="125" t="s">
        <v>202</v>
      </c>
      <c r="B36" s="110" t="s">
        <v>174</v>
      </c>
      <c r="C36" s="182" t="s">
        <v>224</v>
      </c>
      <c r="D36" s="67">
        <v>359.08</v>
      </c>
      <c r="E36" s="106">
        <v>434.27115000000003</v>
      </c>
      <c r="F36" s="139">
        <v>533.91110493000008</v>
      </c>
      <c r="G36" s="138">
        <v>361.3</v>
      </c>
      <c r="H36" s="196"/>
      <c r="J36" s="64"/>
      <c r="K36" s="64"/>
      <c r="L36" s="64"/>
      <c r="M36" s="64"/>
    </row>
    <row r="37" spans="1:13" ht="16" x14ac:dyDescent="0.35">
      <c r="A37" s="256" t="s">
        <v>198</v>
      </c>
      <c r="B37" s="110" t="s">
        <v>187</v>
      </c>
      <c r="C37" s="104">
        <v>143</v>
      </c>
      <c r="D37" s="67">
        <v>251.34</v>
      </c>
      <c r="E37" s="106">
        <v>106.74000000000001</v>
      </c>
      <c r="F37" s="139">
        <v>93.435122000000007</v>
      </c>
      <c r="G37" s="131">
        <v>50.55</v>
      </c>
      <c r="H37" s="187"/>
      <c r="J37" s="64"/>
      <c r="K37" s="64"/>
      <c r="L37" s="64"/>
      <c r="M37" s="64"/>
    </row>
    <row r="38" spans="1:13" ht="16" x14ac:dyDescent="0.35">
      <c r="A38" s="256"/>
      <c r="B38" s="110" t="s">
        <v>174</v>
      </c>
      <c r="C38" s="111">
        <v>86</v>
      </c>
      <c r="D38" s="67">
        <v>108.24</v>
      </c>
      <c r="E38" s="106">
        <v>88.610009999999988</v>
      </c>
      <c r="F38" s="139">
        <v>87.944511999999989</v>
      </c>
      <c r="G38" s="131">
        <v>71.180000000000007</v>
      </c>
      <c r="H38" s="188"/>
      <c r="J38" s="64"/>
      <c r="K38" s="64"/>
      <c r="L38" s="64"/>
      <c r="M38" s="64"/>
    </row>
    <row r="39" spans="1:13" ht="16" x14ac:dyDescent="0.35">
      <c r="A39" s="256"/>
      <c r="B39" s="110" t="s">
        <v>188</v>
      </c>
      <c r="C39" s="112">
        <v>605</v>
      </c>
      <c r="D39" s="68">
        <f>(D38*1000)/D37</f>
        <v>430.65170685127714</v>
      </c>
      <c r="E39" s="75">
        <f>(E38*1000)/E37</f>
        <v>830.14811691961768</v>
      </c>
      <c r="F39" s="75">
        <f>(F38*1000)/F37</f>
        <v>941.236123178605</v>
      </c>
      <c r="G39" s="75">
        <f>(G38*1000)/G37</f>
        <v>1408.1107814045499</v>
      </c>
      <c r="H39" s="190"/>
      <c r="J39" s="64"/>
      <c r="K39" s="64"/>
      <c r="L39" s="64"/>
      <c r="M39" s="64"/>
    </row>
    <row r="40" spans="1:13" ht="16" x14ac:dyDescent="0.35">
      <c r="A40" s="256" t="s">
        <v>199</v>
      </c>
      <c r="B40" s="110" t="s">
        <v>187</v>
      </c>
      <c r="C40" s="104">
        <v>54</v>
      </c>
      <c r="D40" s="67">
        <v>32.630000000000003</v>
      </c>
      <c r="E40" s="106">
        <v>19.060000000000002</v>
      </c>
      <c r="F40" s="139">
        <v>41.461276400000003</v>
      </c>
      <c r="G40" s="131">
        <v>23.06</v>
      </c>
      <c r="H40" s="187"/>
      <c r="J40" s="64"/>
      <c r="K40" s="64"/>
      <c r="L40" s="64"/>
      <c r="M40" s="64"/>
    </row>
    <row r="41" spans="1:13" ht="16" x14ac:dyDescent="0.35">
      <c r="A41" s="256"/>
      <c r="B41" s="110" t="s">
        <v>174</v>
      </c>
      <c r="C41" s="104">
        <v>13</v>
      </c>
      <c r="D41" s="67">
        <v>5.12</v>
      </c>
      <c r="E41" s="106">
        <v>3.31955</v>
      </c>
      <c r="F41" s="139">
        <v>11.03304677</v>
      </c>
      <c r="G41" s="131">
        <v>7.76</v>
      </c>
      <c r="H41" s="187"/>
      <c r="J41" s="64"/>
      <c r="K41" s="64"/>
      <c r="L41" s="64"/>
      <c r="M41" s="64"/>
    </row>
    <row r="42" spans="1:13" ht="16" x14ac:dyDescent="0.35">
      <c r="A42" s="256"/>
      <c r="B42" s="110" t="s">
        <v>188</v>
      </c>
      <c r="C42" s="104">
        <v>241</v>
      </c>
      <c r="D42" s="68">
        <f>(D41*1000)/D40</f>
        <v>156.91081826539994</v>
      </c>
      <c r="E42" s="84">
        <f>(E41*1000)/E40</f>
        <v>174.16316894018885</v>
      </c>
      <c r="F42" s="84">
        <f>(F41*1000)/F40</f>
        <v>266.10485079036306</v>
      </c>
      <c r="G42" s="84">
        <f>(G41*1000)/G40</f>
        <v>336.5134431916739</v>
      </c>
      <c r="H42" s="187"/>
      <c r="J42" s="64"/>
      <c r="K42" s="64"/>
      <c r="L42" s="64"/>
      <c r="M42" s="64"/>
    </row>
    <row r="43" spans="1:13" ht="16" x14ac:dyDescent="0.35">
      <c r="A43" s="256" t="s">
        <v>200</v>
      </c>
      <c r="B43" s="110" t="s">
        <v>187</v>
      </c>
      <c r="C43" s="112" t="s">
        <v>23</v>
      </c>
      <c r="D43" s="67">
        <v>106.44</v>
      </c>
      <c r="E43" s="106">
        <v>128.82000000000002</v>
      </c>
      <c r="F43" s="139">
        <v>91.1089731</v>
      </c>
      <c r="G43" s="131">
        <v>54.63</v>
      </c>
      <c r="H43" s="190"/>
      <c r="J43" s="64"/>
      <c r="K43" s="64"/>
      <c r="L43" s="64"/>
      <c r="M43" s="64"/>
    </row>
    <row r="44" spans="1:13" ht="16" x14ac:dyDescent="0.35">
      <c r="A44" s="256"/>
      <c r="B44" s="110" t="s">
        <v>174</v>
      </c>
      <c r="C44" s="112" t="s">
        <v>23</v>
      </c>
      <c r="D44" s="67">
        <v>26.94</v>
      </c>
      <c r="E44" s="106">
        <v>38.974340000000005</v>
      </c>
      <c r="F44" s="139">
        <v>30.577369400000002</v>
      </c>
      <c r="G44" s="131">
        <v>25.47</v>
      </c>
      <c r="H44" s="190"/>
      <c r="J44" s="64"/>
      <c r="K44" s="64"/>
      <c r="L44" s="64"/>
      <c r="M44" s="64"/>
    </row>
    <row r="45" spans="1:13" ht="16" x14ac:dyDescent="0.35">
      <c r="A45" s="256"/>
      <c r="B45" s="110" t="s">
        <v>188</v>
      </c>
      <c r="C45" s="112" t="s">
        <v>223</v>
      </c>
      <c r="D45" s="68">
        <f>(D44*1000)/D43</f>
        <v>253.10033821871477</v>
      </c>
      <c r="E45" s="75">
        <f>(E44*1000)/E43</f>
        <v>302.54882782176679</v>
      </c>
      <c r="F45" s="75">
        <f>(F44*1000)/F43</f>
        <v>335.61314939241703</v>
      </c>
      <c r="G45" s="75">
        <f>(G44*1000)/G43</f>
        <v>466.22734761120262</v>
      </c>
      <c r="H45" s="190"/>
      <c r="J45" s="64"/>
      <c r="K45" s="64"/>
      <c r="L45" s="64"/>
      <c r="M45" s="64"/>
    </row>
    <row r="46" spans="1:13" ht="16" x14ac:dyDescent="0.35">
      <c r="A46" s="65" t="s">
        <v>185</v>
      </c>
      <c r="B46" s="20"/>
      <c r="D46" s="20"/>
      <c r="E46" s="63"/>
      <c r="F46" s="64"/>
      <c r="G46" s="64"/>
      <c r="H46" s="64"/>
      <c r="I46" s="64"/>
      <c r="J46" s="64"/>
      <c r="K46" s="64"/>
      <c r="L46" s="64"/>
      <c r="M46" s="64"/>
    </row>
  </sheetData>
  <mergeCells count="23">
    <mergeCell ref="A1:F1"/>
    <mergeCell ref="C28:C29"/>
    <mergeCell ref="A37:A39"/>
    <mergeCell ref="A40:A42"/>
    <mergeCell ref="A43:A45"/>
    <mergeCell ref="A19:A21"/>
    <mergeCell ref="A22:A24"/>
    <mergeCell ref="A25:A27"/>
    <mergeCell ref="A28:A29"/>
    <mergeCell ref="A30:A32"/>
    <mergeCell ref="A33:A35"/>
    <mergeCell ref="B28:B29"/>
    <mergeCell ref="A16:A18"/>
    <mergeCell ref="A3:B3"/>
    <mergeCell ref="A4:A6"/>
    <mergeCell ref="A7:A9"/>
    <mergeCell ref="G28:G29"/>
    <mergeCell ref="H28:H29"/>
    <mergeCell ref="A10:A12"/>
    <mergeCell ref="A13:A15"/>
    <mergeCell ref="D28:D29"/>
    <mergeCell ref="E28:E29"/>
    <mergeCell ref="F28:F29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Table 5.1</vt:lpstr>
      <vt:lpstr>Table 5.2</vt:lpstr>
      <vt:lpstr>Table 5.3</vt:lpstr>
      <vt:lpstr>Table 5.4</vt:lpstr>
      <vt:lpstr>Table 5.5</vt:lpstr>
      <vt:lpstr>Table 5.6</vt:lpstr>
      <vt:lpstr>Table 5.7</vt:lpstr>
      <vt:lpstr>Table 5.8</vt:lpstr>
      <vt:lpstr>Table 5.9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2015-06-05T18:17:20Z</dcterms:created>
  <dcterms:modified xsi:type="dcterms:W3CDTF">2022-11-17T09:07:02Z</dcterms:modified>
</cp:coreProperties>
</file>