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5" sheetId="1" r:id="rId1"/>
  </sheets>
  <definedNames>
    <definedName name="_xlnm.Print_Titles" localSheetId="0">'12.1.25'!$1:$3</definedName>
  </definedNames>
  <calcPr calcId="125725"/>
</workbook>
</file>

<file path=xl/calcChain.xml><?xml version="1.0" encoding="utf-8"?>
<calcChain xmlns="http://schemas.openxmlformats.org/spreadsheetml/2006/main">
  <c r="G51" i="1"/>
  <c r="G50"/>
  <c r="G48"/>
  <c r="G47"/>
  <c r="G44"/>
  <c r="G43"/>
  <c r="G41"/>
  <c r="G40"/>
  <c r="G37"/>
  <c r="G36"/>
  <c r="G34"/>
  <c r="G33"/>
  <c r="E51"/>
  <c r="E50"/>
  <c r="E48"/>
  <c r="E47"/>
  <c r="E44"/>
  <c r="E43"/>
  <c r="E41"/>
  <c r="E42" s="1"/>
  <c r="E40"/>
  <c r="E37"/>
  <c r="E36"/>
  <c r="E34"/>
  <c r="E33"/>
  <c r="D51"/>
  <c r="D50"/>
  <c r="D47"/>
  <c r="D44"/>
  <c r="D43"/>
  <c r="D41"/>
  <c r="D40"/>
  <c r="D37"/>
  <c r="D36"/>
  <c r="D34"/>
  <c r="D33"/>
  <c r="C51"/>
  <c r="C50"/>
  <c r="C48"/>
  <c r="C47"/>
  <c r="C44"/>
  <c r="C43"/>
  <c r="C41"/>
  <c r="C40"/>
  <c r="C37"/>
  <c r="C36"/>
  <c r="C34"/>
  <c r="C33"/>
  <c r="D49"/>
  <c r="E52" l="1"/>
  <c r="E49"/>
  <c r="E45"/>
  <c r="E35"/>
  <c r="D52"/>
  <c r="D45"/>
  <c r="D42"/>
  <c r="C52"/>
  <c r="C49"/>
  <c r="C45"/>
  <c r="C42"/>
  <c r="G22" l="1"/>
  <c r="G30"/>
  <c r="G29"/>
  <c r="G27"/>
  <c r="G26"/>
  <c r="G23"/>
  <c r="G20"/>
  <c r="G19"/>
  <c r="G16"/>
  <c r="G15"/>
  <c r="G13"/>
  <c r="G12"/>
  <c r="G8"/>
  <c r="G5"/>
  <c r="E27" l="1"/>
  <c r="C27"/>
  <c r="E20"/>
  <c r="E8"/>
  <c r="C20"/>
  <c r="E26" l="1"/>
  <c r="C26"/>
  <c r="E19"/>
  <c r="C19"/>
  <c r="E12"/>
  <c r="C12"/>
  <c r="E5"/>
  <c r="C5"/>
  <c r="C13"/>
  <c r="E13"/>
  <c r="E6"/>
  <c r="C6"/>
  <c r="E30" l="1"/>
  <c r="E29"/>
  <c r="C30"/>
  <c r="C29"/>
  <c r="E23"/>
  <c r="E22"/>
  <c r="C23"/>
  <c r="C22"/>
  <c r="E16"/>
  <c r="C16"/>
  <c r="E15"/>
  <c r="C15"/>
  <c r="C8"/>
</calcChain>
</file>

<file path=xl/sharedStrings.xml><?xml version="1.0" encoding="utf-8"?>
<sst xmlns="http://schemas.openxmlformats.org/spreadsheetml/2006/main" count="156" uniqueCount="30">
  <si>
    <t>Class of Business</t>
  </si>
  <si>
    <t>Motor</t>
  </si>
  <si>
    <t>Fire</t>
  </si>
  <si>
    <t>Marine</t>
  </si>
  <si>
    <t>Misc</t>
  </si>
  <si>
    <t>Number of policies</t>
  </si>
  <si>
    <t>…</t>
  </si>
  <si>
    <t>RICBL</t>
  </si>
  <si>
    <t>BIL</t>
  </si>
  <si>
    <t>Details</t>
  </si>
  <si>
    <t xml:space="preserve">Percentage of SI ceded to RI </t>
  </si>
  <si>
    <t>Source: Royal Insurance Corporation of Bhutan Ltd., Bhutan Insurance Ltd.,Thimphu</t>
  </si>
  <si>
    <t>Percentage of SI ceded to RI</t>
  </si>
  <si>
    <t>Percentage of premium ceded to RI</t>
  </si>
  <si>
    <t>Gross sum  insured (Nu. in Million)</t>
  </si>
  <si>
    <t>Total sum reinsured (Nu. in Million)</t>
  </si>
  <si>
    <t xml:space="preserve">Percentage of premium ceded to RI </t>
  </si>
  <si>
    <t>Gross Premium (Nu. in Million)</t>
  </si>
  <si>
    <t>Premium ceded to RI (Nu. in Million)</t>
  </si>
  <si>
    <t>Table 12.1.25: General Insurance Business, 2019 - 2021</t>
  </si>
  <si>
    <t>Aviation</t>
  </si>
  <si>
    <t>Engineering</t>
  </si>
  <si>
    <t>Rural House Insurance</t>
  </si>
  <si>
    <t>Note: The total sum reinsured of Rural House Insurance is calculated at 60% of the Total sum insured and the premium ceded to RI is also calculated at 60% of the gross premium.</t>
  </si>
  <si>
    <t>The Misc Insurance for BIL includes insurance products such as Engineering insurance, aviation insurance and various other misc insurance.</t>
  </si>
  <si>
    <t>1.00</t>
  </si>
  <si>
    <t>0.64</t>
  </si>
  <si>
    <t>0.52</t>
  </si>
  <si>
    <t>0.60</t>
  </si>
  <si>
    <t>0.58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</si>
</sst>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#,##0.000"/>
    <numFmt numFmtId="167" formatCode="0.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0"/>
      <name val="Myriad Pro"/>
      <family val="2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sz val="10"/>
      <name val="Myriad Pro"/>
      <family val="2"/>
    </font>
    <font>
      <sz val="10"/>
      <color rgb="FF000000"/>
      <name val="Myriad Pro"/>
      <family val="2"/>
    </font>
    <font>
      <i/>
      <sz val="9"/>
      <color theme="1"/>
      <name val="Myriad Pro"/>
      <family val="2"/>
    </font>
    <font>
      <b/>
      <i/>
      <sz val="9"/>
      <color theme="1"/>
      <name val="Myriad Pro"/>
      <family val="2"/>
    </font>
    <font>
      <b/>
      <sz val="12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64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Border="1"/>
    <xf numFmtId="0" fontId="6" fillId="0" borderId="0" xfId="0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/>
    </xf>
    <xf numFmtId="43" fontId="6" fillId="0" borderId="0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4" fontId="6" fillId="0" borderId="0" xfId="1" applyNumberFormat="1" applyFont="1" applyFill="1" applyBorder="1" applyAlignment="1">
      <alignment horizontal="right" vertical="center"/>
    </xf>
    <xf numFmtId="43" fontId="6" fillId="0" borderId="0" xfId="1" applyFont="1" applyFill="1" applyBorder="1" applyAlignment="1">
      <alignment horizontal="right" vertical="center"/>
    </xf>
    <xf numFmtId="165" fontId="6" fillId="2" borderId="0" xfId="1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43" fontId="6" fillId="0" borderId="0" xfId="1" applyNumberFormat="1" applyFont="1" applyBorder="1" applyAlignment="1">
      <alignment horizontal="center"/>
    </xf>
    <xf numFmtId="2" fontId="6" fillId="0" borderId="0" xfId="0" applyNumberFormat="1" applyFont="1" applyBorder="1"/>
    <xf numFmtId="2" fontId="6" fillId="2" borderId="0" xfId="2" applyNumberFormat="1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Fill="1" applyBorder="1" applyAlignment="1">
      <alignment horizontal="left" vertical="center"/>
    </xf>
    <xf numFmtId="166" fontId="6" fillId="2" borderId="0" xfId="0" applyNumberFormat="1" applyFont="1" applyFill="1" applyBorder="1" applyAlignment="1">
      <alignment horizontal="right"/>
    </xf>
    <xf numFmtId="164" fontId="8" fillId="0" borderId="0" xfId="0" applyNumberFormat="1" applyFont="1" applyBorder="1"/>
    <xf numFmtId="166" fontId="8" fillId="0" borderId="0" xfId="0" applyNumberFormat="1" applyFont="1" applyBorder="1"/>
    <xf numFmtId="164" fontId="6" fillId="2" borderId="0" xfId="1" applyNumberFormat="1" applyFont="1" applyFill="1" applyBorder="1" applyAlignment="1">
      <alignment horizontal="right"/>
    </xf>
    <xf numFmtId="166" fontId="6" fillId="0" borderId="0" xfId="1" applyNumberFormat="1" applyFont="1" applyBorder="1"/>
    <xf numFmtId="165" fontId="6" fillId="0" borderId="0" xfId="1" applyNumberFormat="1" applyFont="1" applyFill="1" applyBorder="1" applyAlignment="1">
      <alignment horizontal="right" vertical="center"/>
    </xf>
    <xf numFmtId="164" fontId="6" fillId="2" borderId="0" xfId="1" applyNumberFormat="1" applyFont="1" applyFill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right" vertical="center"/>
    </xf>
    <xf numFmtId="166" fontId="6" fillId="2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/>
    <xf numFmtId="9" fontId="10" fillId="2" borderId="0" xfId="2" applyFont="1" applyFill="1" applyBorder="1" applyAlignment="1">
      <alignment horizontal="right" vertical="center"/>
    </xf>
    <xf numFmtId="0" fontId="9" fillId="0" borderId="0" xfId="0" applyFont="1" applyBorder="1"/>
    <xf numFmtId="0" fontId="6" fillId="0" borderId="0" xfId="0" applyFont="1" applyBorder="1"/>
    <xf numFmtId="43" fontId="6" fillId="0" borderId="0" xfId="1" applyFont="1" applyBorder="1"/>
    <xf numFmtId="0" fontId="5" fillId="0" borderId="0" xfId="0" applyFont="1" applyBorder="1"/>
    <xf numFmtId="167" fontId="5" fillId="0" borderId="0" xfId="0" applyNumberFormat="1" applyFont="1" applyBorder="1"/>
    <xf numFmtId="2" fontId="5" fillId="0" borderId="0" xfId="0" applyNumberFormat="1" applyFont="1" applyBorder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4" xfId="0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left" vertical="center"/>
    </xf>
    <xf numFmtId="165" fontId="6" fillId="0" borderId="5" xfId="1" applyNumberFormat="1" applyFont="1" applyFill="1" applyBorder="1" applyAlignment="1">
      <alignment vertical="center"/>
    </xf>
    <xf numFmtId="165" fontId="6" fillId="0" borderId="5" xfId="1" applyNumberFormat="1" applyFont="1" applyBorder="1"/>
    <xf numFmtId="0" fontId="6" fillId="0" borderId="4" xfId="0" applyFont="1" applyFill="1" applyBorder="1" applyAlignment="1">
      <alignment horizontal="left" vertical="center"/>
    </xf>
    <xf numFmtId="2" fontId="6" fillId="0" borderId="4" xfId="0" applyNumberFormat="1" applyFont="1" applyBorder="1"/>
    <xf numFmtId="165" fontId="6" fillId="0" borderId="4" xfId="1" applyNumberFormat="1" applyFont="1" applyFill="1" applyBorder="1" applyAlignment="1">
      <alignment horizontal="right" vertical="center"/>
    </xf>
    <xf numFmtId="165" fontId="6" fillId="2" borderId="4" xfId="1" applyNumberFormat="1" applyFont="1" applyFill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left"/>
    </xf>
    <xf numFmtId="165" fontId="6" fillId="0" borderId="0" xfId="1" applyNumberFormat="1" applyFont="1" applyBorder="1" applyAlignment="1"/>
    <xf numFmtId="165" fontId="6" fillId="2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/>
    <xf numFmtId="165" fontId="6" fillId="2" borderId="0" xfId="2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2" fontId="6" fillId="0" borderId="0" xfId="2" applyNumberFormat="1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vertical="center"/>
    </xf>
    <xf numFmtId="2" fontId="6" fillId="0" borderId="4" xfId="2" applyNumberFormat="1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166" fontId="8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6" fillId="2" borderId="0" xfId="2" applyNumberFormat="1" applyFont="1" applyFill="1" applyBorder="1" applyAlignment="1">
      <alignment horizontal="right" vertical="center"/>
    </xf>
    <xf numFmtId="9" fontId="6" fillId="2" borderId="0" xfId="2" applyFont="1" applyFill="1" applyBorder="1" applyAlignment="1">
      <alignment horizontal="right" vertical="center"/>
    </xf>
    <xf numFmtId="10" fontId="6" fillId="0" borderId="0" xfId="0" quotePrefix="1" applyNumberFormat="1" applyFont="1" applyBorder="1" applyAlignment="1">
      <alignment horizontal="right"/>
    </xf>
    <xf numFmtId="10" fontId="6" fillId="0" borderId="4" xfId="0" quotePrefix="1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165" fontId="6" fillId="0" borderId="0" xfId="1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10" fontId="6" fillId="0" borderId="0" xfId="0" quotePrefix="1" applyNumberFormat="1" applyFont="1" applyBorder="1" applyAlignment="1">
      <alignment horizontal="right" vertical="center"/>
    </xf>
    <xf numFmtId="43" fontId="6" fillId="0" borderId="0" xfId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2" fontId="6" fillId="0" borderId="0" xfId="0" applyNumberFormat="1" applyFont="1" applyBorder="1" applyAlignment="1"/>
    <xf numFmtId="9" fontId="6" fillId="2" borderId="0" xfId="2" applyFont="1" applyFill="1" applyBorder="1" applyAlignment="1">
      <alignment horizontal="right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43" fontId="6" fillId="0" borderId="4" xfId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horizontal="right" vertical="center"/>
    </xf>
    <xf numFmtId="9" fontId="6" fillId="2" borderId="4" xfId="2" applyFont="1" applyFill="1" applyBorder="1" applyAlignment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6"/>
  <sheetViews>
    <sheetView showGridLines="0" tabSelected="1" topLeftCell="A40" zoomScale="120" zoomScaleNormal="120" workbookViewId="0">
      <selection activeCell="I49" sqref="I49"/>
    </sheetView>
  </sheetViews>
  <sheetFormatPr defaultRowHeight="15"/>
  <cols>
    <col min="1" max="1" width="16.7109375" style="38" customWidth="1"/>
    <col min="2" max="2" width="30.5703125" style="38" customWidth="1"/>
    <col min="3" max="3" width="13.85546875" style="38" customWidth="1"/>
    <col min="4" max="8" width="13.85546875" style="40" customWidth="1"/>
    <col min="9" max="9" width="18.42578125" style="38" customWidth="1"/>
    <col min="10" max="16384" width="9.140625" style="38"/>
  </cols>
  <sheetData>
    <row r="1" spans="1:9" s="1" customFormat="1" ht="24.75" customHeight="1" thickBot="1">
      <c r="A1" s="87" t="s">
        <v>19</v>
      </c>
      <c r="B1" s="87"/>
      <c r="C1" s="87"/>
      <c r="D1" s="87"/>
      <c r="E1" s="87"/>
      <c r="F1" s="87"/>
      <c r="G1" s="41"/>
      <c r="H1" s="42"/>
    </row>
    <row r="2" spans="1:9" s="2" customFormat="1" ht="19.5" customHeight="1">
      <c r="A2" s="81" t="s">
        <v>0</v>
      </c>
      <c r="B2" s="84" t="s">
        <v>9</v>
      </c>
      <c r="C2" s="86">
        <v>2019</v>
      </c>
      <c r="D2" s="86"/>
      <c r="E2" s="86">
        <v>2020</v>
      </c>
      <c r="F2" s="86"/>
      <c r="G2" s="86">
        <v>2021</v>
      </c>
      <c r="H2" s="86"/>
    </row>
    <row r="3" spans="1:9" s="2" customFormat="1" ht="19.5" customHeight="1">
      <c r="A3" s="82"/>
      <c r="B3" s="85"/>
      <c r="C3" s="43" t="s">
        <v>7</v>
      </c>
      <c r="D3" s="44" t="s">
        <v>8</v>
      </c>
      <c r="E3" s="43" t="s">
        <v>7</v>
      </c>
      <c r="F3" s="44" t="s">
        <v>8</v>
      </c>
      <c r="G3" s="43" t="s">
        <v>7</v>
      </c>
      <c r="H3" s="44" t="s">
        <v>8</v>
      </c>
    </row>
    <row r="4" spans="1:9" s="2" customFormat="1" ht="15" customHeight="1">
      <c r="A4" s="83" t="s">
        <v>1</v>
      </c>
      <c r="B4" s="45" t="s">
        <v>5</v>
      </c>
      <c r="C4" s="46">
        <v>41777</v>
      </c>
      <c r="D4" s="46">
        <v>13449</v>
      </c>
      <c r="E4" s="46">
        <v>37916</v>
      </c>
      <c r="F4" s="46">
        <v>12607</v>
      </c>
      <c r="G4" s="47">
        <v>39863</v>
      </c>
      <c r="H4" s="46">
        <v>13225</v>
      </c>
    </row>
    <row r="5" spans="1:9" s="2" customFormat="1" ht="15.75" customHeight="1">
      <c r="A5" s="78"/>
      <c r="B5" s="3" t="s">
        <v>17</v>
      </c>
      <c r="C5" s="4">
        <f>427969348/1000000</f>
        <v>427.96934800000002</v>
      </c>
      <c r="D5" s="4">
        <v>140.07300000000001</v>
      </c>
      <c r="E5" s="4">
        <f>378777097/1000000</f>
        <v>378.77709700000003</v>
      </c>
      <c r="F5" s="4">
        <v>122.258</v>
      </c>
      <c r="G5" s="5">
        <f>384708922.93/1000000</f>
        <v>384.70892293000003</v>
      </c>
      <c r="H5" s="4">
        <v>121.50700000000001</v>
      </c>
    </row>
    <row r="6" spans="1:9" s="2" customFormat="1">
      <c r="A6" s="78"/>
      <c r="B6" s="6" t="s">
        <v>18</v>
      </c>
      <c r="C6" s="57">
        <f>8093821/1000000</f>
        <v>8.0938210000000002</v>
      </c>
      <c r="D6" s="7">
        <v>38.145000000000003</v>
      </c>
      <c r="E6" s="4">
        <f>10870901/1000000</f>
        <v>10.870901</v>
      </c>
      <c r="F6" s="7">
        <v>33.255000000000003</v>
      </c>
      <c r="G6" s="8" t="s">
        <v>6</v>
      </c>
      <c r="H6" s="7">
        <v>37.585999999999999</v>
      </c>
    </row>
    <row r="7" spans="1:9" s="2" customFormat="1">
      <c r="A7" s="78"/>
      <c r="B7" s="6" t="s">
        <v>13</v>
      </c>
      <c r="C7" s="9">
        <v>1.89</v>
      </c>
      <c r="D7" s="9">
        <v>27</v>
      </c>
      <c r="E7" s="9">
        <v>2.87</v>
      </c>
      <c r="F7" s="9">
        <v>27</v>
      </c>
      <c r="G7" s="8" t="s">
        <v>6</v>
      </c>
      <c r="H7" s="9">
        <v>31</v>
      </c>
    </row>
    <row r="8" spans="1:9" s="2" customFormat="1">
      <c r="A8" s="78"/>
      <c r="B8" s="10" t="s">
        <v>14</v>
      </c>
      <c r="C8" s="4">
        <f>24245458577.75/1000000</f>
        <v>24245.45857775</v>
      </c>
      <c r="D8" s="11" t="s">
        <v>6</v>
      </c>
      <c r="E8" s="4">
        <f>22568375467.19/1000000</f>
        <v>22568.375467189999</v>
      </c>
      <c r="F8" s="11" t="s">
        <v>6</v>
      </c>
      <c r="G8" s="5">
        <f>26992473616.93/1000000</f>
        <v>26992.473616930001</v>
      </c>
      <c r="H8" s="11">
        <v>5930.3370000000004</v>
      </c>
    </row>
    <row r="9" spans="1:9" s="2" customFormat="1">
      <c r="A9" s="78"/>
      <c r="B9" s="6" t="s">
        <v>15</v>
      </c>
      <c r="C9" s="11" t="s">
        <v>6</v>
      </c>
      <c r="D9" s="11" t="s">
        <v>6</v>
      </c>
      <c r="E9" s="11" t="s">
        <v>6</v>
      </c>
      <c r="F9" s="11" t="s">
        <v>6</v>
      </c>
      <c r="G9" s="8" t="s">
        <v>6</v>
      </c>
      <c r="H9" s="11" t="s">
        <v>6</v>
      </c>
    </row>
    <row r="10" spans="1:9" s="2" customFormat="1">
      <c r="A10" s="78"/>
      <c r="B10" s="6" t="s">
        <v>10</v>
      </c>
      <c r="C10" s="12" t="s">
        <v>6</v>
      </c>
      <c r="D10" s="12" t="s">
        <v>6</v>
      </c>
      <c r="E10" s="12" t="s">
        <v>6</v>
      </c>
      <c r="F10" s="12" t="s">
        <v>6</v>
      </c>
      <c r="G10" s="8" t="s">
        <v>6</v>
      </c>
      <c r="H10" s="12" t="s">
        <v>6</v>
      </c>
    </row>
    <row r="11" spans="1:9" s="2" customFormat="1" ht="21" customHeight="1">
      <c r="A11" s="78" t="s">
        <v>2</v>
      </c>
      <c r="B11" s="52" t="s">
        <v>5</v>
      </c>
      <c r="C11" s="63">
        <v>9443</v>
      </c>
      <c r="D11" s="63">
        <v>3906</v>
      </c>
      <c r="E11" s="55">
        <v>9844</v>
      </c>
      <c r="F11" s="55">
        <v>4095</v>
      </c>
      <c r="G11" s="53">
        <v>10738</v>
      </c>
      <c r="H11" s="54">
        <v>4531</v>
      </c>
    </row>
    <row r="12" spans="1:9" s="2" customFormat="1">
      <c r="A12" s="78"/>
      <c r="B12" s="3" t="s">
        <v>17</v>
      </c>
      <c r="C12" s="4">
        <f>377775151/1000000</f>
        <v>377.77515099999999</v>
      </c>
      <c r="D12" s="58">
        <v>126.001</v>
      </c>
      <c r="E12" s="14">
        <f>421964890.01/1000000</f>
        <v>421.96489000999998</v>
      </c>
      <c r="F12" s="4">
        <v>150.22399999999999</v>
      </c>
      <c r="G12" s="5">
        <f>486220870.6/1000000</f>
        <v>486.22087060000001</v>
      </c>
      <c r="H12" s="15">
        <v>175.38900000000001</v>
      </c>
      <c r="I12" s="16"/>
    </row>
    <row r="13" spans="1:9" s="2" customFormat="1">
      <c r="A13" s="78"/>
      <c r="B13" s="6" t="s">
        <v>18</v>
      </c>
      <c r="C13" s="4">
        <f>519927585.31/1000000</f>
        <v>519.92758531000004</v>
      </c>
      <c r="D13" s="4">
        <v>66.176000000000002</v>
      </c>
      <c r="E13" s="4">
        <f>509511113/1000000</f>
        <v>509.51111300000002</v>
      </c>
      <c r="F13" s="4">
        <v>73.456999999999994</v>
      </c>
      <c r="G13" s="5">
        <f>316547967/1000000</f>
        <v>316.54796700000003</v>
      </c>
      <c r="H13" s="15">
        <v>101.938</v>
      </c>
    </row>
    <row r="14" spans="1:9" s="2" customFormat="1">
      <c r="A14" s="78"/>
      <c r="B14" s="6" t="s">
        <v>13</v>
      </c>
      <c r="C14" s="9">
        <v>77.150000000000006</v>
      </c>
      <c r="D14" s="9">
        <v>53</v>
      </c>
      <c r="E14" s="9">
        <v>58.45</v>
      </c>
      <c r="F14" s="9">
        <v>49</v>
      </c>
      <c r="G14" s="17">
        <v>65.099999999999994</v>
      </c>
      <c r="H14" s="18">
        <v>58</v>
      </c>
    </row>
    <row r="15" spans="1:9" s="2" customFormat="1">
      <c r="A15" s="78"/>
      <c r="B15" s="10" t="s">
        <v>14</v>
      </c>
      <c r="C15" s="4">
        <f>227838616739.19/1000000</f>
        <v>227838.61673919001</v>
      </c>
      <c r="D15" s="4" t="s">
        <v>6</v>
      </c>
      <c r="E15" s="4">
        <f>251759521750.42/1000000</f>
        <v>251759.52175042001</v>
      </c>
      <c r="F15" s="11" t="s">
        <v>6</v>
      </c>
      <c r="G15" s="5">
        <f>438662163532.79/1000000</f>
        <v>438662.16353278997</v>
      </c>
      <c r="H15" s="19">
        <v>98214.451000000001</v>
      </c>
    </row>
    <row r="16" spans="1:9" s="2" customFormat="1">
      <c r="A16" s="78"/>
      <c r="B16" s="6" t="s">
        <v>15</v>
      </c>
      <c r="C16" s="4">
        <f>162877345905/1000000</f>
        <v>162877.34590499999</v>
      </c>
      <c r="D16" s="4" t="s">
        <v>6</v>
      </c>
      <c r="E16" s="4">
        <f>173924436006/1000000</f>
        <v>173924.436006</v>
      </c>
      <c r="F16" s="11" t="s">
        <v>6</v>
      </c>
      <c r="G16" s="20">
        <f>334935850846.35/1000000</f>
        <v>334935.85084634996</v>
      </c>
      <c r="H16" s="66" t="s">
        <v>6</v>
      </c>
    </row>
    <row r="17" spans="1:9" s="2" customFormat="1">
      <c r="A17" s="78"/>
      <c r="B17" s="6" t="s">
        <v>10</v>
      </c>
      <c r="C17" s="9">
        <v>71.489999999999995</v>
      </c>
      <c r="D17" s="9" t="s">
        <v>6</v>
      </c>
      <c r="E17" s="9">
        <v>69.08</v>
      </c>
      <c r="F17" s="12" t="s">
        <v>6</v>
      </c>
      <c r="G17" s="17">
        <v>76.349999999999994</v>
      </c>
      <c r="H17" s="67" t="s">
        <v>6</v>
      </c>
    </row>
    <row r="18" spans="1:9" s="2" customFormat="1" ht="21" customHeight="1">
      <c r="A18" s="78" t="s">
        <v>3</v>
      </c>
      <c r="B18" s="52" t="s">
        <v>5</v>
      </c>
      <c r="C18" s="63">
        <v>607</v>
      </c>
      <c r="D18" s="63">
        <v>229</v>
      </c>
      <c r="E18" s="55">
        <v>507</v>
      </c>
      <c r="F18" s="55">
        <v>275</v>
      </c>
      <c r="G18" s="53">
        <v>641</v>
      </c>
      <c r="H18" s="56">
        <v>358</v>
      </c>
    </row>
    <row r="19" spans="1:9" s="2" customFormat="1">
      <c r="A19" s="78"/>
      <c r="B19" s="3" t="s">
        <v>17</v>
      </c>
      <c r="C19" s="4">
        <f>22709705/1000000</f>
        <v>22.709705</v>
      </c>
      <c r="D19" s="59">
        <v>6.5730000000000004</v>
      </c>
      <c r="E19" s="21">
        <f>16115238/1000000</f>
        <v>16.115238000000002</v>
      </c>
      <c r="F19" s="4">
        <v>5.2910000000000004</v>
      </c>
      <c r="G19" s="5">
        <f>19663546.55/1000000</f>
        <v>19.66354655</v>
      </c>
      <c r="H19" s="15">
        <v>5.819</v>
      </c>
      <c r="I19" s="16"/>
    </row>
    <row r="20" spans="1:9" s="2" customFormat="1">
      <c r="A20" s="78"/>
      <c r="B20" s="6" t="s">
        <v>18</v>
      </c>
      <c r="C20" s="7">
        <f>(2584346.99066495+1860220.84)/1000000</f>
        <v>4.4445678306649503</v>
      </c>
      <c r="D20" s="4">
        <v>3.5459999999999998</v>
      </c>
      <c r="E20" s="7">
        <f>(1161515.03+1900760)/1000000</f>
        <v>3.0622750300000003</v>
      </c>
      <c r="F20" s="4">
        <v>2.0960000000000001</v>
      </c>
      <c r="G20" s="20">
        <f>1257485/1000000</f>
        <v>1.257485</v>
      </c>
      <c r="H20" s="15">
        <v>2.6739999999999999</v>
      </c>
      <c r="I20" s="4"/>
    </row>
    <row r="21" spans="1:9" s="2" customFormat="1">
      <c r="A21" s="78"/>
      <c r="B21" s="6" t="s">
        <v>16</v>
      </c>
      <c r="C21" s="9">
        <v>11.38</v>
      </c>
      <c r="D21" s="9">
        <v>54</v>
      </c>
      <c r="E21" s="9">
        <v>7.0000000000000007E-2</v>
      </c>
      <c r="F21" s="9">
        <v>40</v>
      </c>
      <c r="G21" s="17">
        <v>6.4</v>
      </c>
      <c r="H21" s="18">
        <v>46</v>
      </c>
    </row>
    <row r="22" spans="1:9" s="2" customFormat="1">
      <c r="A22" s="78"/>
      <c r="B22" s="10" t="s">
        <v>14</v>
      </c>
      <c r="C22" s="4">
        <f>14509113528.28/1000000</f>
        <v>14509.113528280001</v>
      </c>
      <c r="D22" s="4" t="s">
        <v>6</v>
      </c>
      <c r="E22" s="4">
        <f>6342698221/1000000</f>
        <v>6342.6982209999996</v>
      </c>
      <c r="F22" s="11" t="s">
        <v>6</v>
      </c>
      <c r="G22" s="5">
        <f>9739115866.12/1000000</f>
        <v>9739.1158661200006</v>
      </c>
      <c r="H22" s="22">
        <v>6299.9170000000004</v>
      </c>
    </row>
    <row r="23" spans="1:9" s="2" customFormat="1">
      <c r="A23" s="78"/>
      <c r="B23" s="6" t="s">
        <v>15</v>
      </c>
      <c r="C23" s="4">
        <f>5083978421/1000000</f>
        <v>5083.9784209999998</v>
      </c>
      <c r="D23" s="4" t="s">
        <v>6</v>
      </c>
      <c r="E23" s="4">
        <f>295321169/1000000</f>
        <v>295.321169</v>
      </c>
      <c r="F23" s="11" t="s">
        <v>6</v>
      </c>
      <c r="G23" s="5">
        <f>100947842.5/1000000</f>
        <v>100.94784249999999</v>
      </c>
      <c r="H23" s="67" t="s">
        <v>6</v>
      </c>
    </row>
    <row r="24" spans="1:9" s="2" customFormat="1">
      <c r="A24" s="78"/>
      <c r="B24" s="6" t="s">
        <v>12</v>
      </c>
      <c r="C24" s="9">
        <v>35.04</v>
      </c>
      <c r="D24" s="4" t="s">
        <v>6</v>
      </c>
      <c r="E24" s="74">
        <v>4.66</v>
      </c>
      <c r="F24" s="75" t="s">
        <v>6</v>
      </c>
      <c r="G24" s="76">
        <v>1.04</v>
      </c>
      <c r="H24" s="77" t="s">
        <v>6</v>
      </c>
    </row>
    <row r="25" spans="1:9" s="2" customFormat="1" ht="21" customHeight="1">
      <c r="A25" s="78" t="s">
        <v>4</v>
      </c>
      <c r="B25" s="52" t="s">
        <v>5</v>
      </c>
      <c r="C25" s="63">
        <v>13612</v>
      </c>
      <c r="D25" s="63">
        <v>1649</v>
      </c>
      <c r="E25" s="55">
        <v>5898</v>
      </c>
      <c r="F25" s="55">
        <v>1712</v>
      </c>
      <c r="G25" s="53">
        <v>11473</v>
      </c>
      <c r="H25" s="54">
        <v>1801</v>
      </c>
    </row>
    <row r="26" spans="1:9" s="2" customFormat="1">
      <c r="A26" s="78"/>
      <c r="B26" s="3" t="s">
        <v>17</v>
      </c>
      <c r="C26" s="4">
        <f>54475699.86/1000000</f>
        <v>54.475699859999999</v>
      </c>
      <c r="D26" s="59">
        <v>49.878</v>
      </c>
      <c r="E26" s="21">
        <f>43286964.16/1000000</f>
        <v>43.286964159999997</v>
      </c>
      <c r="F26" s="4">
        <v>41.691000000000003</v>
      </c>
      <c r="G26" s="5">
        <f>49189514.76/1000000</f>
        <v>49.189514759999994</v>
      </c>
      <c r="H26" s="15">
        <v>108.995</v>
      </c>
      <c r="I26" s="16"/>
    </row>
    <row r="27" spans="1:9" s="2" customFormat="1">
      <c r="A27" s="78"/>
      <c r="B27" s="70" t="s">
        <v>18</v>
      </c>
      <c r="C27" s="4">
        <f>(32414579.1686179+1860220.84)/1000000</f>
        <v>34.274800008617902</v>
      </c>
      <c r="D27" s="4">
        <v>36.674999999999997</v>
      </c>
      <c r="E27" s="4">
        <f>(14045958.16+1900760.21)/1000000</f>
        <v>15.946718370000001</v>
      </c>
      <c r="F27" s="4">
        <v>33.521999999999998</v>
      </c>
      <c r="G27" s="23">
        <f>6183408/1000000</f>
        <v>6.183408</v>
      </c>
      <c r="H27" s="15">
        <v>91.872</v>
      </c>
    </row>
    <row r="28" spans="1:9" s="2" customFormat="1">
      <c r="A28" s="78"/>
      <c r="B28" s="70" t="s">
        <v>16</v>
      </c>
      <c r="C28" s="9">
        <v>45.85</v>
      </c>
      <c r="D28" s="9">
        <v>74</v>
      </c>
      <c r="E28" s="9">
        <v>23.12</v>
      </c>
      <c r="F28" s="9">
        <v>80</v>
      </c>
      <c r="G28" s="17">
        <v>12.57</v>
      </c>
      <c r="H28" s="18">
        <v>84</v>
      </c>
    </row>
    <row r="29" spans="1:9" s="2" customFormat="1">
      <c r="A29" s="78"/>
      <c r="B29" s="10" t="s">
        <v>14</v>
      </c>
      <c r="C29" s="4">
        <f>30585284423/1000000</f>
        <v>30585.284423000001</v>
      </c>
      <c r="D29" s="4" t="s">
        <v>6</v>
      </c>
      <c r="E29" s="4">
        <f>22789981425/1000000</f>
        <v>22789.981425000002</v>
      </c>
      <c r="F29" s="11" t="s">
        <v>6</v>
      </c>
      <c r="G29" s="24">
        <f>86418370947.86/1000000</f>
        <v>86418.370947860007</v>
      </c>
      <c r="H29" s="25">
        <v>604254.005</v>
      </c>
    </row>
    <row r="30" spans="1:9" s="2" customFormat="1">
      <c r="A30" s="78"/>
      <c r="B30" s="70" t="s">
        <v>15</v>
      </c>
      <c r="C30" s="4">
        <f>5993749326/1000000</f>
        <v>5993.7493260000001</v>
      </c>
      <c r="D30" s="4" t="s">
        <v>6</v>
      </c>
      <c r="E30" s="4">
        <f>6140044000/1000000</f>
        <v>6140.0439999999999</v>
      </c>
      <c r="F30" s="11" t="s">
        <v>6</v>
      </c>
      <c r="G30" s="26">
        <f>671820000/1000000</f>
        <v>671.82</v>
      </c>
      <c r="H30" s="67" t="s">
        <v>6</v>
      </c>
    </row>
    <row r="31" spans="1:9" s="2" customFormat="1">
      <c r="A31" s="88"/>
      <c r="B31" s="48" t="s">
        <v>12</v>
      </c>
      <c r="C31" s="89">
        <v>19.600000000000001</v>
      </c>
      <c r="D31" s="90" t="s">
        <v>6</v>
      </c>
      <c r="E31" s="89">
        <v>26.94</v>
      </c>
      <c r="F31" s="91" t="s">
        <v>6</v>
      </c>
      <c r="G31" s="49">
        <v>0.78</v>
      </c>
      <c r="H31" s="92" t="s">
        <v>6</v>
      </c>
    </row>
    <row r="32" spans="1:9" s="2" customFormat="1" ht="21" customHeight="1">
      <c r="A32" s="78" t="s">
        <v>20</v>
      </c>
      <c r="B32" s="52" t="s">
        <v>5</v>
      </c>
      <c r="C32" s="63">
        <v>1</v>
      </c>
      <c r="D32" s="63">
        <v>3</v>
      </c>
      <c r="E32" s="71">
        <v>2</v>
      </c>
      <c r="F32" s="27" t="s">
        <v>6</v>
      </c>
      <c r="G32" s="71">
        <v>2</v>
      </c>
      <c r="H32" s="13" t="s">
        <v>6</v>
      </c>
    </row>
    <row r="33" spans="1:9" s="2" customFormat="1">
      <c r="A33" s="78"/>
      <c r="B33" s="3" t="s">
        <v>17</v>
      </c>
      <c r="C33" s="4">
        <f>74776848.24/1000000</f>
        <v>74.776848239999993</v>
      </c>
      <c r="D33" s="4">
        <f>99866031.79/1000000</f>
        <v>99.866031790000008</v>
      </c>
      <c r="E33" s="5">
        <f>127484271.32/1000</f>
        <v>127484.27132</v>
      </c>
      <c r="F33" s="11" t="s">
        <v>6</v>
      </c>
      <c r="G33" s="5">
        <f>127484271.32/1000000</f>
        <v>127.48427131999999</v>
      </c>
      <c r="H33" s="28" t="s">
        <v>6</v>
      </c>
      <c r="I33" s="16"/>
    </row>
    <row r="34" spans="1:9" s="2" customFormat="1">
      <c r="A34" s="78"/>
      <c r="B34" s="6" t="s">
        <v>18</v>
      </c>
      <c r="C34" s="4">
        <f>74776848.24/1000000</f>
        <v>74.776848239999993</v>
      </c>
      <c r="D34" s="4">
        <f>99866031.79/1000000</f>
        <v>99.866031790000008</v>
      </c>
      <c r="E34" s="5">
        <f>127484271.32/1000000</f>
        <v>127.48427131999999</v>
      </c>
      <c r="F34" s="11" t="s">
        <v>6</v>
      </c>
      <c r="G34" s="5">
        <f>127484271.32/1000000</f>
        <v>127.48427131999999</v>
      </c>
      <c r="H34" s="28" t="s">
        <v>6</v>
      </c>
    </row>
    <row r="35" spans="1:9" s="2" customFormat="1">
      <c r="A35" s="78"/>
      <c r="B35" s="6" t="s">
        <v>13</v>
      </c>
      <c r="C35" s="60">
        <v>1</v>
      </c>
      <c r="D35" s="60">
        <v>1</v>
      </c>
      <c r="E35" s="17">
        <f>E34/E33</f>
        <v>1E-3</v>
      </c>
      <c r="F35" s="27" t="s">
        <v>6</v>
      </c>
      <c r="G35" s="68" t="s">
        <v>25</v>
      </c>
      <c r="H35" s="13" t="s">
        <v>6</v>
      </c>
    </row>
    <row r="36" spans="1:9" s="2" customFormat="1">
      <c r="A36" s="78"/>
      <c r="B36" s="10" t="s">
        <v>14</v>
      </c>
      <c r="C36" s="4">
        <f>292562210031.48/1000000</f>
        <v>292562.21003148</v>
      </c>
      <c r="D36" s="4">
        <f>7279493364/1000000</f>
        <v>7279.4933639999999</v>
      </c>
      <c r="E36" s="23">
        <f>7279493364/1000000</f>
        <v>7279.4933639999999</v>
      </c>
      <c r="F36" s="11" t="s">
        <v>6</v>
      </c>
      <c r="G36" s="24">
        <f>7279493364/1000000</f>
        <v>7279.4933639999999</v>
      </c>
      <c r="H36" s="28" t="s">
        <v>6</v>
      </c>
    </row>
    <row r="37" spans="1:9" s="2" customFormat="1">
      <c r="A37" s="78"/>
      <c r="B37" s="6" t="s">
        <v>15</v>
      </c>
      <c r="C37" s="4">
        <f>292562210031.48/1000000</f>
        <v>292562.21003148</v>
      </c>
      <c r="D37" s="4">
        <f>7279493364/1000000</f>
        <v>7279.4933639999999</v>
      </c>
      <c r="E37" s="23">
        <f>7279493364/1000000</f>
        <v>7279.4933639999999</v>
      </c>
      <c r="F37" s="11" t="s">
        <v>6</v>
      </c>
      <c r="G37" s="24">
        <f>7279493364/1000000</f>
        <v>7279.4933639999999</v>
      </c>
      <c r="H37" s="28" t="s">
        <v>6</v>
      </c>
    </row>
    <row r="38" spans="1:9" s="2" customFormat="1">
      <c r="A38" s="78"/>
      <c r="B38" s="6" t="s">
        <v>10</v>
      </c>
      <c r="C38" s="60">
        <v>1</v>
      </c>
      <c r="D38" s="60">
        <v>1</v>
      </c>
      <c r="E38" s="17">
        <v>1</v>
      </c>
      <c r="F38" s="27" t="s">
        <v>6</v>
      </c>
      <c r="G38" s="68" t="s">
        <v>25</v>
      </c>
      <c r="H38" s="13" t="s">
        <v>6</v>
      </c>
    </row>
    <row r="39" spans="1:9" s="2" customFormat="1" ht="21" customHeight="1">
      <c r="A39" s="78" t="s">
        <v>21</v>
      </c>
      <c r="B39" s="52" t="s">
        <v>5</v>
      </c>
      <c r="C39" s="63">
        <v>228</v>
      </c>
      <c r="D39" s="63">
        <v>256</v>
      </c>
      <c r="E39" s="71">
        <v>259</v>
      </c>
      <c r="F39" s="27" t="s">
        <v>6</v>
      </c>
      <c r="G39" s="71">
        <v>259</v>
      </c>
      <c r="H39" s="13" t="s">
        <v>6</v>
      </c>
    </row>
    <row r="40" spans="1:9" s="2" customFormat="1">
      <c r="A40" s="78"/>
      <c r="B40" s="3" t="s">
        <v>17</v>
      </c>
      <c r="C40" s="64">
        <f>67408380.6/1000000</f>
        <v>67.408380600000001</v>
      </c>
      <c r="D40" s="61">
        <f>75300136/1000000</f>
        <v>75.300135999999995</v>
      </c>
      <c r="E40" s="26">
        <f>67984102.01/1000000</f>
        <v>67.984102010000001</v>
      </c>
      <c r="F40" s="29" t="s">
        <v>6</v>
      </c>
      <c r="G40" s="5">
        <f>67984102.01/1000000</f>
        <v>67.984102010000001</v>
      </c>
      <c r="H40" s="30" t="s">
        <v>6</v>
      </c>
      <c r="I40" s="16"/>
    </row>
    <row r="41" spans="1:9" s="2" customFormat="1">
      <c r="A41" s="78"/>
      <c r="B41" s="6" t="s">
        <v>18</v>
      </c>
      <c r="C41" s="64">
        <f>51917808.88/1000000</f>
        <v>51.917808880000003</v>
      </c>
      <c r="D41" s="64">
        <f>58085787.29/1000000</f>
        <v>58.085787289999999</v>
      </c>
      <c r="E41" s="24">
        <f>43318041/1000000</f>
        <v>43.318041000000001</v>
      </c>
      <c r="F41" s="29" t="s">
        <v>6</v>
      </c>
      <c r="G41" s="23">
        <f>43318041/1000000</f>
        <v>43.318041000000001</v>
      </c>
      <c r="H41" s="30" t="s">
        <v>6</v>
      </c>
      <c r="I41" s="4"/>
    </row>
    <row r="42" spans="1:9" s="2" customFormat="1">
      <c r="A42" s="78"/>
      <c r="B42" s="6" t="s">
        <v>16</v>
      </c>
      <c r="C42" s="60">
        <f>C41/C40</f>
        <v>0.77019813290100014</v>
      </c>
      <c r="D42" s="60">
        <f>D41/D40</f>
        <v>0.77139020426204807</v>
      </c>
      <c r="E42" s="17">
        <f>E41/E40</f>
        <v>0.63717898331036582</v>
      </c>
      <c r="F42" s="27" t="s">
        <v>6</v>
      </c>
      <c r="G42" s="68" t="s">
        <v>26</v>
      </c>
      <c r="H42" s="13" t="s">
        <v>6</v>
      </c>
    </row>
    <row r="43" spans="1:9" s="2" customFormat="1">
      <c r="A43" s="78"/>
      <c r="B43" s="10" t="s">
        <v>14</v>
      </c>
      <c r="C43" s="4">
        <f>7918465465.75/1000000</f>
        <v>7918.4654657499996</v>
      </c>
      <c r="D43" s="4">
        <f>10831809330.77/1000000</f>
        <v>10831.80933077</v>
      </c>
      <c r="E43" s="23">
        <f>19809089026.92/1000000</f>
        <v>19809.089026919999</v>
      </c>
      <c r="F43" s="11" t="s">
        <v>6</v>
      </c>
      <c r="G43" s="24">
        <f>19809089026.92/1000000</f>
        <v>19809.089026919999</v>
      </c>
      <c r="H43" s="28" t="s">
        <v>6</v>
      </c>
    </row>
    <row r="44" spans="1:9" s="2" customFormat="1">
      <c r="A44" s="78"/>
      <c r="B44" s="6" t="s">
        <v>15</v>
      </c>
      <c r="C44" s="65">
        <f>5619955912.25/1000000</f>
        <v>5619.9559122500004</v>
      </c>
      <c r="D44" s="65">
        <f>7246319568.84/1000000</f>
        <v>7246.3195688400001</v>
      </c>
      <c r="E44" s="5">
        <f>10251197986.71/1000000</f>
        <v>10251.19798671</v>
      </c>
      <c r="F44" s="11" t="s">
        <v>6</v>
      </c>
      <c r="G44" s="26">
        <f>10251197986.71/1000000</f>
        <v>10251.19798671</v>
      </c>
      <c r="H44" s="28" t="s">
        <v>6</v>
      </c>
    </row>
    <row r="45" spans="1:9" s="2" customFormat="1">
      <c r="A45" s="78"/>
      <c r="B45" s="6" t="s">
        <v>12</v>
      </c>
      <c r="C45" s="60">
        <f>C44/C43</f>
        <v>0.70972790581182443</v>
      </c>
      <c r="D45" s="60">
        <f>D44/D43</f>
        <v>0.66898514805419695</v>
      </c>
      <c r="E45" s="72">
        <f>E44/E43</f>
        <v>0.51749971807279516</v>
      </c>
      <c r="F45" s="27" t="s">
        <v>6</v>
      </c>
      <c r="G45" s="73" t="s">
        <v>27</v>
      </c>
      <c r="H45" s="13" t="s">
        <v>6</v>
      </c>
    </row>
    <row r="46" spans="1:9" s="2" customFormat="1" ht="21" customHeight="1">
      <c r="A46" s="79" t="s">
        <v>22</v>
      </c>
      <c r="B46" s="52" t="s">
        <v>5</v>
      </c>
      <c r="C46" s="63">
        <v>208</v>
      </c>
      <c r="D46" s="63">
        <v>209</v>
      </c>
      <c r="E46" s="71">
        <v>205</v>
      </c>
      <c r="F46" s="27" t="s">
        <v>6</v>
      </c>
      <c r="G46" s="71">
        <v>205</v>
      </c>
      <c r="H46" s="13" t="s">
        <v>6</v>
      </c>
    </row>
    <row r="47" spans="1:9" s="2" customFormat="1">
      <c r="A47" s="79"/>
      <c r="B47" s="3" t="s">
        <v>17</v>
      </c>
      <c r="C47" s="4">
        <f>36617097/1000000</f>
        <v>36.617097000000001</v>
      </c>
      <c r="D47" s="4">
        <f>37039440/1000000</f>
        <v>37.039439999999999</v>
      </c>
      <c r="E47" s="5">
        <f>38446581/1000000</f>
        <v>38.446581000000002</v>
      </c>
      <c r="F47" s="27" t="s">
        <v>6</v>
      </c>
      <c r="G47" s="5">
        <f>38446581/1000000</f>
        <v>38.446581000000002</v>
      </c>
      <c r="H47" s="13" t="s">
        <v>6</v>
      </c>
      <c r="I47" s="16"/>
    </row>
    <row r="48" spans="1:9" s="2" customFormat="1">
      <c r="A48" s="79"/>
      <c r="B48" s="6" t="s">
        <v>18</v>
      </c>
      <c r="C48" s="4">
        <f>21.97/1000000</f>
        <v>2.1969999999999998E-5</v>
      </c>
      <c r="D48" s="4">
        <v>22.224</v>
      </c>
      <c r="E48" s="23">
        <f>23067984.6/1000000</f>
        <v>23.067984600000003</v>
      </c>
      <c r="F48" s="27" t="s">
        <v>6</v>
      </c>
      <c r="G48" s="23">
        <f>23067984.6/1000000</f>
        <v>23.067984600000003</v>
      </c>
      <c r="H48" s="13" t="s">
        <v>6</v>
      </c>
    </row>
    <row r="49" spans="1:8" s="2" customFormat="1">
      <c r="A49" s="79"/>
      <c r="B49" s="6" t="s">
        <v>16</v>
      </c>
      <c r="C49" s="60">
        <f>C48/C47</f>
        <v>5.9999294864909682E-7</v>
      </c>
      <c r="D49" s="60">
        <f>D48/D47</f>
        <v>0.60000907141144688</v>
      </c>
      <c r="E49" s="17">
        <f>E48/E47</f>
        <v>0.60000093636414642</v>
      </c>
      <c r="F49" s="27" t="s">
        <v>6</v>
      </c>
      <c r="G49" s="68" t="s">
        <v>28</v>
      </c>
      <c r="H49" s="13" t="s">
        <v>6</v>
      </c>
    </row>
    <row r="50" spans="1:8" s="2" customFormat="1">
      <c r="A50" s="79"/>
      <c r="B50" s="10" t="s">
        <v>14</v>
      </c>
      <c r="C50" s="4">
        <f>9190070000/1000000</f>
        <v>9190.07</v>
      </c>
      <c r="D50" s="4">
        <f>9135240/1000000</f>
        <v>9.1352399999999996</v>
      </c>
      <c r="E50" s="23">
        <f>10023060000/1000000</f>
        <v>10023.06</v>
      </c>
      <c r="F50" s="27" t="s">
        <v>6</v>
      </c>
      <c r="G50" s="24">
        <f>10023060000/1000000</f>
        <v>10023.06</v>
      </c>
      <c r="H50" s="13" t="s">
        <v>6</v>
      </c>
    </row>
    <row r="51" spans="1:8" s="2" customFormat="1">
      <c r="A51" s="79"/>
      <c r="B51" s="6" t="s">
        <v>15</v>
      </c>
      <c r="C51" s="4">
        <f>5514.04/1000000</f>
        <v>5.5140399999999996E-3</v>
      </c>
      <c r="D51" s="4">
        <f>5.48/1000000</f>
        <v>5.48E-6</v>
      </c>
      <c r="E51" s="5">
        <f>5813016000/1000000</f>
        <v>5813.0159999999996</v>
      </c>
      <c r="F51" s="27" t="s">
        <v>6</v>
      </c>
      <c r="G51" s="26">
        <f>5813016000/1000000</f>
        <v>5813.0159999999996</v>
      </c>
      <c r="H51" s="13" t="s">
        <v>6</v>
      </c>
    </row>
    <row r="52" spans="1:8" s="2" customFormat="1">
      <c r="A52" s="80"/>
      <c r="B52" s="48" t="s">
        <v>12</v>
      </c>
      <c r="C52" s="62">
        <f>C51/C50</f>
        <v>5.9999978237380128E-7</v>
      </c>
      <c r="D52" s="62">
        <f>D51/D50</f>
        <v>5.9987477066831305E-7</v>
      </c>
      <c r="E52" s="49">
        <f>E51/E50</f>
        <v>0.57996420254892223</v>
      </c>
      <c r="F52" s="50" t="s">
        <v>6</v>
      </c>
      <c r="G52" s="69" t="s">
        <v>29</v>
      </c>
      <c r="H52" s="51" t="s">
        <v>6</v>
      </c>
    </row>
    <row r="53" spans="1:8" s="2" customFormat="1" ht="20.25" customHeight="1">
      <c r="A53" s="31" t="s">
        <v>23</v>
      </c>
      <c r="B53" s="31"/>
      <c r="C53" s="31"/>
      <c r="D53" s="31"/>
      <c r="E53" s="31"/>
      <c r="F53" s="32"/>
      <c r="G53" s="33"/>
      <c r="H53" s="34"/>
    </row>
    <row r="54" spans="1:8" s="2" customFormat="1" ht="14.25" customHeight="1">
      <c r="A54" s="31" t="s">
        <v>24</v>
      </c>
      <c r="B54" s="31"/>
      <c r="C54" s="31"/>
      <c r="D54" s="31"/>
      <c r="E54" s="31"/>
      <c r="F54" s="32"/>
      <c r="G54" s="33"/>
      <c r="H54" s="34"/>
    </row>
    <row r="55" spans="1:8" ht="18" customHeight="1">
      <c r="A55" s="35" t="s">
        <v>11</v>
      </c>
      <c r="B55" s="36"/>
      <c r="C55" s="36"/>
      <c r="D55" s="17"/>
      <c r="E55" s="17"/>
      <c r="F55" s="17"/>
      <c r="G55" s="37"/>
      <c r="H55" s="17"/>
    </row>
    <row r="56" spans="1:8">
      <c r="D56" s="39"/>
    </row>
  </sheetData>
  <mergeCells count="13">
    <mergeCell ref="B2:B3"/>
    <mergeCell ref="C2:D2"/>
    <mergeCell ref="E2:F2"/>
    <mergeCell ref="G2:H2"/>
    <mergeCell ref="A1:F1"/>
    <mergeCell ref="A32:A38"/>
    <mergeCell ref="A39:A45"/>
    <mergeCell ref="A46:A52"/>
    <mergeCell ref="A25:A31"/>
    <mergeCell ref="A2:A3"/>
    <mergeCell ref="A4:A10"/>
    <mergeCell ref="A11:A17"/>
    <mergeCell ref="A18:A2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12.1.25</vt:lpstr>
      <vt:lpstr>'12.1.25'!Print_Titles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2022-10-13T07:15:33Z</dcterms:modified>
</cp:coreProperties>
</file>